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tabRatio="835" firstSheet="1" activeTab="1"/>
  </bookViews>
  <sheets>
    <sheet name="Výdaje 2014 - podrobně" sheetId="8" state="hidden" r:id="rId1"/>
    <sheet name="Příjmy 2014 shrnutí" sheetId="3" r:id="rId2"/>
    <sheet name="Příjmy 2014 - podrobně" sheetId="6" r:id="rId3"/>
    <sheet name="Výdaje 2014 - shrnutí" sheetId="2" r:id="rId4"/>
    <sheet name="Plán investic 2015" sheetId="53" r:id="rId5"/>
    <sheet name="1014" sheetId="10" r:id="rId6"/>
    <sheet name="1031" sheetId="11" r:id="rId7"/>
    <sheet name="1036" sheetId="12" r:id="rId8"/>
    <sheet name="2212" sheetId="13" r:id="rId9"/>
    <sheet name="2219" sheetId="15" r:id="rId10"/>
    <sheet name="2310" sheetId="16" r:id="rId11"/>
    <sheet name="2321" sheetId="17" r:id="rId12"/>
    <sheet name="3111" sheetId="18" r:id="rId13"/>
    <sheet name="3113" sheetId="20" r:id="rId14"/>
    <sheet name="3231" sheetId="19" r:id="rId15"/>
    <sheet name="3314" sheetId="21" r:id="rId16"/>
    <sheet name="3319" sheetId="22" r:id="rId17"/>
    <sheet name="3326" sheetId="54" r:id="rId18"/>
    <sheet name="3330" sheetId="23" r:id="rId19"/>
    <sheet name="3412" sheetId="24" r:id="rId20"/>
    <sheet name="3419" sheetId="25" r:id="rId21"/>
    <sheet name="3421" sheetId="26" r:id="rId22"/>
    <sheet name="3611" sheetId="27" r:id="rId23"/>
    <sheet name="3612" sheetId="28" r:id="rId24"/>
    <sheet name="3613" sheetId="29" r:id="rId25"/>
    <sheet name="3619" sheetId="30" r:id="rId26"/>
    <sheet name="3631" sheetId="31" r:id="rId27"/>
    <sheet name="3632" sheetId="33" r:id="rId28"/>
    <sheet name="3722" sheetId="32" r:id="rId29"/>
    <sheet name="3745" sheetId="34" r:id="rId30"/>
    <sheet name="3900" sheetId="35" r:id="rId31"/>
    <sheet name="4339" sheetId="36" r:id="rId32"/>
    <sheet name="4351" sheetId="37" r:id="rId33"/>
    <sheet name="5212" sheetId="38" r:id="rId34"/>
    <sheet name="5311" sheetId="39" r:id="rId35"/>
    <sheet name="5512" sheetId="40" r:id="rId36"/>
    <sheet name="6112" sheetId="42" r:id="rId37"/>
    <sheet name="6115" sheetId="41" r:id="rId38"/>
    <sheet name="6117" sheetId="43" r:id="rId39"/>
    <sheet name="6171" sheetId="44" r:id="rId40"/>
    <sheet name="6310" sheetId="45" r:id="rId41"/>
    <sheet name="6330" sheetId="48" r:id="rId42"/>
    <sheet name="6399" sheetId="47" r:id="rId43"/>
    <sheet name="6402" sheetId="50" r:id="rId44"/>
    <sheet name="6409" sheetId="51" r:id="rId45"/>
    <sheet name="Vytváření rezerv" sheetId="52" r:id="rId46"/>
    <sheet name="Investice 2014" sheetId="14" r:id="rId47"/>
    <sheet name="Investice" sheetId="4" state="hidden" r:id="rId48"/>
    <sheet name="Dotace" sheetId="5" state="hidden" r:id="rId49"/>
    <sheet name="Kultura - kontrolní součty" sheetId="9" state="hidden" r:id="rId50"/>
    <sheet name="Čerpání Investic 2013" sheetId="7" state="hidden" r:id="rId51"/>
  </sheets>
  <definedNames>
    <definedName name="_xlnm._FilterDatabase" localSheetId="50" hidden="1">'Čerpání Investic 2013'!$A$5:$M$47</definedName>
  </definedNames>
  <calcPr calcId="125725"/>
</workbook>
</file>

<file path=xl/calcChain.xml><?xml version="1.0" encoding="utf-8"?>
<calcChain xmlns="http://schemas.openxmlformats.org/spreadsheetml/2006/main">
  <c r="B44" i="3"/>
  <c r="B36"/>
  <c r="B34"/>
  <c r="B30"/>
  <c r="B29"/>
  <c r="B28"/>
  <c r="B27"/>
  <c r="B26"/>
  <c r="B25"/>
  <c r="B24"/>
  <c r="B22"/>
  <c r="B21"/>
  <c r="B18"/>
  <c r="B17"/>
  <c r="B16"/>
  <c r="B15"/>
  <c r="B14"/>
  <c r="B13"/>
  <c r="B12"/>
  <c r="B11"/>
  <c r="B10"/>
  <c r="B9"/>
  <c r="B8"/>
  <c r="B7"/>
  <c r="F29" i="53"/>
  <c r="B55" i="2"/>
  <c r="B54"/>
  <c r="B53"/>
  <c r="I6" i="54"/>
  <c r="B24" i="2" s="1"/>
  <c r="E6" i="54"/>
  <c r="D6"/>
  <c r="G5"/>
  <c r="B27" i="47"/>
  <c r="K5" i="34"/>
  <c r="C28" i="19"/>
  <c r="C29" i="20"/>
  <c r="C28" i="18"/>
  <c r="AI78" i="6"/>
  <c r="AI75" s="1"/>
  <c r="AI30"/>
  <c r="B23" i="3" s="1"/>
  <c r="AI41" i="6"/>
  <c r="AI38"/>
  <c r="AI21"/>
  <c r="B19" i="3" s="1"/>
  <c r="AI16" i="6"/>
  <c r="AI6" l="1"/>
  <c r="B35" i="3"/>
  <c r="B32" s="1"/>
  <c r="G6" i="54"/>
  <c r="B52" i="2"/>
  <c r="B6" i="3"/>
  <c r="B20"/>
  <c r="AI27" i="6"/>
  <c r="AI74" s="1"/>
  <c r="AI88" s="1"/>
  <c r="H48" i="53"/>
  <c r="B5" i="2" s="1"/>
  <c r="E48" i="53"/>
  <c r="D48"/>
  <c r="C48"/>
  <c r="F24"/>
  <c r="F43"/>
  <c r="F42"/>
  <c r="F41"/>
  <c r="F40"/>
  <c r="F39"/>
  <c r="F38"/>
  <c r="F44"/>
  <c r="F22"/>
  <c r="F37"/>
  <c r="F21"/>
  <c r="F20"/>
  <c r="F19"/>
  <c r="F18"/>
  <c r="F36"/>
  <c r="F35"/>
  <c r="F34"/>
  <c r="F33"/>
  <c r="F32"/>
  <c r="F17"/>
  <c r="F31"/>
  <c r="F16"/>
  <c r="F30"/>
  <c r="F15"/>
  <c r="F14"/>
  <c r="F13"/>
  <c r="F12"/>
  <c r="F11"/>
  <c r="F10"/>
  <c r="F9"/>
  <c r="F8"/>
  <c r="F7"/>
  <c r="F6"/>
  <c r="F5"/>
  <c r="F4"/>
  <c r="I8" i="52"/>
  <c r="I9" i="32"/>
  <c r="B33" i="2" s="1"/>
  <c r="I30" i="34"/>
  <c r="B34" i="2" s="1"/>
  <c r="I9" i="35"/>
  <c r="B35" i="2" s="1"/>
  <c r="I16" i="36"/>
  <c r="B36" i="2" s="1"/>
  <c r="I21" i="37"/>
  <c r="B37" i="2" s="1"/>
  <c r="I8" i="38"/>
  <c r="B38" i="2" s="1"/>
  <c r="I6" i="39"/>
  <c r="B39" i="2" s="1"/>
  <c r="I30" i="40"/>
  <c r="B42" i="2" s="1"/>
  <c r="I21" i="40"/>
  <c r="B41" i="2" s="1"/>
  <c r="B40" s="1"/>
  <c r="I8" i="42"/>
  <c r="B43" i="2" s="1"/>
  <c r="I42" i="44"/>
  <c r="B46" i="2" s="1"/>
  <c r="I6" i="45"/>
  <c r="B47" i="2" s="1"/>
  <c r="I11" i="48"/>
  <c r="I6"/>
  <c r="I9" i="47"/>
  <c r="I6"/>
  <c r="I6" i="50"/>
  <c r="B50" i="2" s="1"/>
  <c r="I6" i="51"/>
  <c r="B51" i="2" s="1"/>
  <c r="I8" i="33"/>
  <c r="B32" i="2" s="1"/>
  <c r="I9" i="31"/>
  <c r="B31" i="2" s="1"/>
  <c r="I12" i="29"/>
  <c r="B30" i="2" s="1"/>
  <c r="I30" i="28"/>
  <c r="B29" i="2" s="1"/>
  <c r="I9" i="26"/>
  <c r="B28" i="2" s="1"/>
  <c r="I6" i="25"/>
  <c r="B27" i="2" s="1"/>
  <c r="I10" i="24"/>
  <c r="B26" i="2" s="1"/>
  <c r="I6" i="23"/>
  <c r="B25" i="2" s="1"/>
  <c r="I70" i="22"/>
  <c r="B23" i="2" s="1"/>
  <c r="I66" i="22"/>
  <c r="B22" i="2" s="1"/>
  <c r="I59" i="22"/>
  <c r="B21" i="2" s="1"/>
  <c r="I51" i="22"/>
  <c r="B20" i="2" s="1"/>
  <c r="I45" i="22"/>
  <c r="B19" i="2" s="1"/>
  <c r="I35" i="22"/>
  <c r="B18" i="2" s="1"/>
  <c r="I26" i="21"/>
  <c r="B16" i="2" s="1"/>
  <c r="J9" i="20"/>
  <c r="B14" i="2" s="1"/>
  <c r="J8" i="19"/>
  <c r="B15" i="2" s="1"/>
  <c r="J8" i="18"/>
  <c r="B13" i="2" s="1"/>
  <c r="I7" i="17"/>
  <c r="B12" i="2" s="1"/>
  <c r="D8" i="16"/>
  <c r="B11" i="2" s="1"/>
  <c r="D12" i="13"/>
  <c r="B10" i="2" s="1"/>
  <c r="D6" i="12"/>
  <c r="B9" i="2" s="1"/>
  <c r="D23" i="11"/>
  <c r="B8" i="2" s="1"/>
  <c r="D8" i="10"/>
  <c r="B7" i="2" s="1"/>
  <c r="E8" i="52"/>
  <c r="D8"/>
  <c r="G7"/>
  <c r="F7"/>
  <c r="G6"/>
  <c r="F6"/>
  <c r="G5"/>
  <c r="F5"/>
  <c r="E6" i="51"/>
  <c r="F6" s="1"/>
  <c r="D6"/>
  <c r="G5"/>
  <c r="F5"/>
  <c r="E6" i="50"/>
  <c r="D6"/>
  <c r="G5"/>
  <c r="E11" i="48"/>
  <c r="D11"/>
  <c r="G10"/>
  <c r="E6"/>
  <c r="D6"/>
  <c r="G5"/>
  <c r="F5"/>
  <c r="E9" i="47"/>
  <c r="F9" s="1"/>
  <c r="D9"/>
  <c r="G8"/>
  <c r="F8"/>
  <c r="E6"/>
  <c r="F6" s="1"/>
  <c r="D6"/>
  <c r="G5"/>
  <c r="F5"/>
  <c r="D85" i="14"/>
  <c r="D86" s="1"/>
  <c r="C85"/>
  <c r="C86" s="1"/>
  <c r="B85"/>
  <c r="D80"/>
  <c r="D81" s="1"/>
  <c r="C80"/>
  <c r="C81" s="1"/>
  <c r="B80"/>
  <c r="D75"/>
  <c r="D76" s="1"/>
  <c r="C75"/>
  <c r="B75"/>
  <c r="D70"/>
  <c r="D71" s="1"/>
  <c r="C70"/>
  <c r="C71" s="1"/>
  <c r="B70"/>
  <c r="D65"/>
  <c r="D66" s="1"/>
  <c r="C65"/>
  <c r="C66" s="1"/>
  <c r="B65"/>
  <c r="D60"/>
  <c r="D61" s="1"/>
  <c r="C60"/>
  <c r="C61" s="1"/>
  <c r="B60"/>
  <c r="E6" i="45"/>
  <c r="D6"/>
  <c r="G5"/>
  <c r="F5"/>
  <c r="E42" i="44"/>
  <c r="D42"/>
  <c r="G41"/>
  <c r="F41"/>
  <c r="G40"/>
  <c r="F40"/>
  <c r="G39"/>
  <c r="F39"/>
  <c r="G38"/>
  <c r="G37"/>
  <c r="F37"/>
  <c r="G34"/>
  <c r="F34"/>
  <c r="G33"/>
  <c r="F33"/>
  <c r="G32"/>
  <c r="G31"/>
  <c r="F31"/>
  <c r="G30"/>
  <c r="F30"/>
  <c r="G29"/>
  <c r="F29"/>
  <c r="G28"/>
  <c r="F28"/>
  <c r="G27"/>
  <c r="F27"/>
  <c r="G26"/>
  <c r="F26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G5"/>
  <c r="F5"/>
  <c r="AD15" i="43"/>
  <c r="AC15"/>
  <c r="W15"/>
  <c r="V15"/>
  <c r="U15"/>
  <c r="T15"/>
  <c r="R15"/>
  <c r="Q15"/>
  <c r="P15"/>
  <c r="N15"/>
  <c r="L15"/>
  <c r="J15"/>
  <c r="H15"/>
  <c r="G15"/>
  <c r="F15"/>
  <c r="E15"/>
  <c r="D15"/>
  <c r="C15"/>
  <c r="AF14"/>
  <c r="S14"/>
  <c r="O14"/>
  <c r="M14"/>
  <c r="K14"/>
  <c r="I14"/>
  <c r="AF13"/>
  <c r="S13"/>
  <c r="O13"/>
  <c r="M13"/>
  <c r="K13"/>
  <c r="I13"/>
  <c r="AF12"/>
  <c r="S12"/>
  <c r="O12"/>
  <c r="M12"/>
  <c r="K12"/>
  <c r="I12"/>
  <c r="AF11"/>
  <c r="S11"/>
  <c r="O11"/>
  <c r="M11"/>
  <c r="K11"/>
  <c r="I11"/>
  <c r="AF10"/>
  <c r="S10"/>
  <c r="O10"/>
  <c r="M10"/>
  <c r="K10"/>
  <c r="I10"/>
  <c r="AF9"/>
  <c r="S9"/>
  <c r="O9"/>
  <c r="M9"/>
  <c r="K9"/>
  <c r="I9"/>
  <c r="AF8"/>
  <c r="S8"/>
  <c r="O8"/>
  <c r="M8"/>
  <c r="K8"/>
  <c r="I8"/>
  <c r="AF7"/>
  <c r="S7"/>
  <c r="O7"/>
  <c r="M7"/>
  <c r="K7"/>
  <c r="I7"/>
  <c r="AF6"/>
  <c r="S6"/>
  <c r="O6"/>
  <c r="M6"/>
  <c r="K6"/>
  <c r="I6"/>
  <c r="AF5"/>
  <c r="S5"/>
  <c r="O5"/>
  <c r="M5"/>
  <c r="M15" s="1"/>
  <c r="K5"/>
  <c r="I5"/>
  <c r="E8" i="42"/>
  <c r="F8" s="1"/>
  <c r="D8"/>
  <c r="G7"/>
  <c r="F7"/>
  <c r="G6"/>
  <c r="F6"/>
  <c r="G5"/>
  <c r="F5"/>
  <c r="AD16" i="41"/>
  <c r="AC16"/>
  <c r="W16"/>
  <c r="V16"/>
  <c r="U16"/>
  <c r="T16"/>
  <c r="R16"/>
  <c r="Q16"/>
  <c r="P16"/>
  <c r="N16"/>
  <c r="L16"/>
  <c r="J16"/>
  <c r="H16"/>
  <c r="G16"/>
  <c r="F16"/>
  <c r="E16"/>
  <c r="D16"/>
  <c r="C16"/>
  <c r="AF15"/>
  <c r="S15"/>
  <c r="O15"/>
  <c r="M15"/>
  <c r="K15"/>
  <c r="I15"/>
  <c r="S14"/>
  <c r="Y14" s="1"/>
  <c r="AF13"/>
  <c r="S13"/>
  <c r="O13"/>
  <c r="M13"/>
  <c r="K13"/>
  <c r="I13"/>
  <c r="AF12"/>
  <c r="S12"/>
  <c r="O12"/>
  <c r="M12"/>
  <c r="K12"/>
  <c r="I12"/>
  <c r="AF11"/>
  <c r="S11"/>
  <c r="O11"/>
  <c r="M11"/>
  <c r="K11"/>
  <c r="I11"/>
  <c r="AF10"/>
  <c r="S10"/>
  <c r="O10"/>
  <c r="M10"/>
  <c r="K10"/>
  <c r="I10"/>
  <c r="AF9"/>
  <c r="S9"/>
  <c r="O9"/>
  <c r="M9"/>
  <c r="K9"/>
  <c r="I9"/>
  <c r="AF8"/>
  <c r="S8"/>
  <c r="O8"/>
  <c r="M8"/>
  <c r="K8"/>
  <c r="I8"/>
  <c r="AF7"/>
  <c r="S7"/>
  <c r="O7"/>
  <c r="M7"/>
  <c r="K7"/>
  <c r="I7"/>
  <c r="AF6"/>
  <c r="S6"/>
  <c r="O6"/>
  <c r="M6"/>
  <c r="K6"/>
  <c r="I6"/>
  <c r="AF5"/>
  <c r="S5"/>
  <c r="O5"/>
  <c r="M5"/>
  <c r="K5"/>
  <c r="I5"/>
  <c r="E30" i="40"/>
  <c r="F30" s="1"/>
  <c r="D30"/>
  <c r="G29"/>
  <c r="F29"/>
  <c r="G28"/>
  <c r="F28"/>
  <c r="G27"/>
  <c r="F27"/>
  <c r="G26"/>
  <c r="G24"/>
  <c r="F24"/>
  <c r="E21"/>
  <c r="D21"/>
  <c r="G18"/>
  <c r="F18"/>
  <c r="G17"/>
  <c r="F17"/>
  <c r="G15"/>
  <c r="F15"/>
  <c r="G14"/>
  <c r="F14"/>
  <c r="G13"/>
  <c r="F13"/>
  <c r="G12"/>
  <c r="F12"/>
  <c r="G11"/>
  <c r="F11"/>
  <c r="G10"/>
  <c r="F10"/>
  <c r="G9"/>
  <c r="F9"/>
  <c r="G8"/>
  <c r="G7"/>
  <c r="F7"/>
  <c r="G6"/>
  <c r="F6"/>
  <c r="E6" i="39"/>
  <c r="F6" s="1"/>
  <c r="D6"/>
  <c r="G6" s="1"/>
  <c r="G5"/>
  <c r="F5"/>
  <c r="E8" i="38"/>
  <c r="D8"/>
  <c r="G7"/>
  <c r="F7"/>
  <c r="G5"/>
  <c r="F5"/>
  <c r="E21" i="37"/>
  <c r="D21"/>
  <c r="G20"/>
  <c r="F20"/>
  <c r="G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E16" i="36"/>
  <c r="D16"/>
  <c r="G15"/>
  <c r="G13"/>
  <c r="G12"/>
  <c r="G11"/>
  <c r="G10"/>
  <c r="G9"/>
  <c r="G7"/>
  <c r="G6"/>
  <c r="G5"/>
  <c r="E9" i="35"/>
  <c r="D9"/>
  <c r="G7"/>
  <c r="G6"/>
  <c r="G5"/>
  <c r="E30" i="34"/>
  <c r="D30"/>
  <c r="G29"/>
  <c r="F29"/>
  <c r="G28"/>
  <c r="F28"/>
  <c r="G27"/>
  <c r="G26"/>
  <c r="F26"/>
  <c r="G25"/>
  <c r="F25"/>
  <c r="G23"/>
  <c r="F23"/>
  <c r="G22"/>
  <c r="F22"/>
  <c r="G21"/>
  <c r="F21"/>
  <c r="G20"/>
  <c r="F20"/>
  <c r="G19"/>
  <c r="F19"/>
  <c r="G18"/>
  <c r="F18"/>
  <c r="G17"/>
  <c r="F17"/>
  <c r="G16"/>
  <c r="F16"/>
  <c r="G14"/>
  <c r="F14"/>
  <c r="G13"/>
  <c r="F13"/>
  <c r="G12"/>
  <c r="F12"/>
  <c r="G10"/>
  <c r="F10"/>
  <c r="G9"/>
  <c r="F9"/>
  <c r="G8"/>
  <c r="F8"/>
  <c r="G7"/>
  <c r="F7"/>
  <c r="G6"/>
  <c r="F6"/>
  <c r="G5"/>
  <c r="F5"/>
  <c r="E8" i="33"/>
  <c r="F8" s="1"/>
  <c r="D8"/>
  <c r="G7"/>
  <c r="F7"/>
  <c r="G6"/>
  <c r="F6"/>
  <c r="G5"/>
  <c r="D55" i="14"/>
  <c r="D56" s="1"/>
  <c r="C55"/>
  <c r="C56" s="1"/>
  <c r="B55"/>
  <c r="E9" i="32"/>
  <c r="F9" s="1"/>
  <c r="D9"/>
  <c r="G8"/>
  <c r="G7"/>
  <c r="F7"/>
  <c r="G6"/>
  <c r="F6"/>
  <c r="G5"/>
  <c r="D50" i="14"/>
  <c r="D51" s="1"/>
  <c r="C50"/>
  <c r="C51" s="1"/>
  <c r="B50"/>
  <c r="E9" i="31"/>
  <c r="D9"/>
  <c r="G8"/>
  <c r="F8"/>
  <c r="G7"/>
  <c r="F7"/>
  <c r="G6"/>
  <c r="F6"/>
  <c r="D45" i="14"/>
  <c r="D46" s="1"/>
  <c r="C45"/>
  <c r="C46" s="1"/>
  <c r="B45"/>
  <c r="AD6" i="30"/>
  <c r="AC6"/>
  <c r="W6"/>
  <c r="V6"/>
  <c r="U6"/>
  <c r="T6"/>
  <c r="R6"/>
  <c r="P6"/>
  <c r="N6"/>
  <c r="L6"/>
  <c r="J6"/>
  <c r="H6"/>
  <c r="F6"/>
  <c r="E6"/>
  <c r="D6"/>
  <c r="C6"/>
  <c r="AF5"/>
  <c r="AE5"/>
  <c r="S5"/>
  <c r="S6" s="1"/>
  <c r="Q5"/>
  <c r="Q6" s="1"/>
  <c r="O5"/>
  <c r="O6" s="1"/>
  <c r="M5"/>
  <c r="M6" s="1"/>
  <c r="K5"/>
  <c r="K6" s="1"/>
  <c r="I5"/>
  <c r="I6" s="1"/>
  <c r="G5"/>
  <c r="D40" i="14"/>
  <c r="D41" s="1"/>
  <c r="C40"/>
  <c r="C41" s="1"/>
  <c r="B40"/>
  <c r="E12" i="29"/>
  <c r="D12"/>
  <c r="G11"/>
  <c r="F11"/>
  <c r="G10"/>
  <c r="F10"/>
  <c r="G9"/>
  <c r="F9"/>
  <c r="G8"/>
  <c r="F8"/>
  <c r="G7"/>
  <c r="F7"/>
  <c r="G6"/>
  <c r="F6"/>
  <c r="G5"/>
  <c r="F5"/>
  <c r="D35" i="14"/>
  <c r="C35"/>
  <c r="C36" s="1"/>
  <c r="B35"/>
  <c r="D30"/>
  <c r="D31" s="1"/>
  <c r="C30"/>
  <c r="C31" s="1"/>
  <c r="B30"/>
  <c r="E30" i="28"/>
  <c r="F30" s="1"/>
  <c r="D30"/>
  <c r="G29"/>
  <c r="F29"/>
  <c r="G28"/>
  <c r="F28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AD6" i="27"/>
  <c r="AE6" s="1"/>
  <c r="AC6"/>
  <c r="W6"/>
  <c r="V6"/>
  <c r="U6"/>
  <c r="T6"/>
  <c r="R6"/>
  <c r="P6"/>
  <c r="N6"/>
  <c r="L6"/>
  <c r="J6"/>
  <c r="H6"/>
  <c r="G6"/>
  <c r="F6"/>
  <c r="E6"/>
  <c r="D6"/>
  <c r="C6"/>
  <c r="AF5"/>
  <c r="AE5"/>
  <c r="S5"/>
  <c r="S6" s="1"/>
  <c r="Q5"/>
  <c r="Q6" s="1"/>
  <c r="O5"/>
  <c r="M5"/>
  <c r="M6" s="1"/>
  <c r="K5"/>
  <c r="K6" s="1"/>
  <c r="I5"/>
  <c r="I6" s="1"/>
  <c r="D9" i="26"/>
  <c r="G8"/>
  <c r="F8"/>
  <c r="G7"/>
  <c r="F7"/>
  <c r="G6"/>
  <c r="G5"/>
  <c r="E6" i="25"/>
  <c r="F6" s="1"/>
  <c r="D6"/>
  <c r="G5"/>
  <c r="F5"/>
  <c r="G9" i="24"/>
  <c r="F9"/>
  <c r="G8"/>
  <c r="F8"/>
  <c r="G7"/>
  <c r="F7"/>
  <c r="G6"/>
  <c r="F6"/>
  <c r="G5"/>
  <c r="F5"/>
  <c r="E6" i="23"/>
  <c r="D6"/>
  <c r="G6" s="1"/>
  <c r="G5"/>
  <c r="E70" i="22"/>
  <c r="D70"/>
  <c r="E66"/>
  <c r="D66"/>
  <c r="E59"/>
  <c r="D59"/>
  <c r="E51"/>
  <c r="D51"/>
  <c r="G48"/>
  <c r="F48"/>
  <c r="E45"/>
  <c r="F45" s="1"/>
  <c r="D45"/>
  <c r="G44"/>
  <c r="F44"/>
  <c r="G43"/>
  <c r="F43"/>
  <c r="G42"/>
  <c r="F42"/>
  <c r="G41"/>
  <c r="F41"/>
  <c r="G40"/>
  <c r="F40"/>
  <c r="G39"/>
  <c r="F39"/>
  <c r="G38"/>
  <c r="F38"/>
  <c r="E35"/>
  <c r="F35" s="1"/>
  <c r="D35"/>
  <c r="G34"/>
  <c r="F34"/>
  <c r="G33"/>
  <c r="F33"/>
  <c r="G32"/>
  <c r="G31"/>
  <c r="G30"/>
  <c r="F30"/>
  <c r="G29"/>
  <c r="F29"/>
  <c r="G28"/>
  <c r="F28"/>
  <c r="G27"/>
  <c r="F27"/>
  <c r="G26"/>
  <c r="F26"/>
  <c r="G25"/>
  <c r="F25"/>
  <c r="G24"/>
  <c r="F24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1"/>
  <c r="F11"/>
  <c r="G10"/>
  <c r="F10"/>
  <c r="G9"/>
  <c r="F9"/>
  <c r="G8"/>
  <c r="F8"/>
  <c r="G7"/>
  <c r="F7"/>
  <c r="G6"/>
  <c r="F6"/>
  <c r="E26" i="21"/>
  <c r="D26"/>
  <c r="G25"/>
  <c r="F25"/>
  <c r="G24"/>
  <c r="F24"/>
  <c r="G23"/>
  <c r="F23"/>
  <c r="G22"/>
  <c r="F22"/>
  <c r="G21"/>
  <c r="F21"/>
  <c r="G20"/>
  <c r="F20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8"/>
  <c r="F8"/>
  <c r="G7"/>
  <c r="F7"/>
  <c r="G6"/>
  <c r="F6"/>
  <c r="G5"/>
  <c r="F5"/>
  <c r="D25" i="14"/>
  <c r="D26" s="1"/>
  <c r="C25"/>
  <c r="C26" s="1"/>
  <c r="B25"/>
  <c r="H9" i="20"/>
  <c r="G9"/>
  <c r="C30" i="19"/>
  <c r="H8"/>
  <c r="G8"/>
  <c r="D20" i="14"/>
  <c r="D21" s="1"/>
  <c r="C20"/>
  <c r="C21" s="1"/>
  <c r="B20"/>
  <c r="H8" i="18"/>
  <c r="G8"/>
  <c r="D15" i="14"/>
  <c r="D16" s="1"/>
  <c r="C15"/>
  <c r="B15"/>
  <c r="E7" i="17"/>
  <c r="D7"/>
  <c r="G6"/>
  <c r="F6"/>
  <c r="G5"/>
  <c r="F5"/>
  <c r="B10" i="14"/>
  <c r="D10"/>
  <c r="D11" s="1"/>
  <c r="C10"/>
  <c r="C11" s="1"/>
  <c r="W6" i="15"/>
  <c r="V6"/>
  <c r="U6"/>
  <c r="T6"/>
  <c r="R6"/>
  <c r="P6"/>
  <c r="N6"/>
  <c r="L6"/>
  <c r="J6"/>
  <c r="H6"/>
  <c r="F6"/>
  <c r="E6"/>
  <c r="D6"/>
  <c r="C6"/>
  <c r="S5"/>
  <c r="S6" s="1"/>
  <c r="Q5"/>
  <c r="Q6" s="1"/>
  <c r="O5"/>
  <c r="O6" s="1"/>
  <c r="M5"/>
  <c r="M6" s="1"/>
  <c r="K5"/>
  <c r="K6" s="1"/>
  <c r="I5"/>
  <c r="I6" s="1"/>
  <c r="G5"/>
  <c r="D5" i="14"/>
  <c r="D6" s="1"/>
  <c r="C5"/>
  <c r="C6" s="1"/>
  <c r="B5"/>
  <c r="N86"/>
  <c r="L86"/>
  <c r="J86"/>
  <c r="H86"/>
  <c r="F86"/>
  <c r="E86"/>
  <c r="O85"/>
  <c r="O86" s="1"/>
  <c r="M85"/>
  <c r="M86" s="1"/>
  <c r="K85"/>
  <c r="K86" s="1"/>
  <c r="I85"/>
  <c r="I86" s="1"/>
  <c r="G85"/>
  <c r="G86" s="1"/>
  <c r="N81"/>
  <c r="L81"/>
  <c r="J81"/>
  <c r="H81"/>
  <c r="G81"/>
  <c r="F81"/>
  <c r="E81"/>
  <c r="O80"/>
  <c r="O81" s="1"/>
  <c r="M80"/>
  <c r="M81" s="1"/>
  <c r="K80"/>
  <c r="I80"/>
  <c r="I81" s="1"/>
  <c r="N76"/>
  <c r="L76"/>
  <c r="J76"/>
  <c r="H76"/>
  <c r="G76"/>
  <c r="F76"/>
  <c r="E76"/>
  <c r="C76"/>
  <c r="O75"/>
  <c r="O76" s="1"/>
  <c r="M75"/>
  <c r="M76" s="1"/>
  <c r="K75"/>
  <c r="K76" s="1"/>
  <c r="I75"/>
  <c r="N71"/>
  <c r="L71"/>
  <c r="J71"/>
  <c r="H71"/>
  <c r="G71"/>
  <c r="F71"/>
  <c r="E71"/>
  <c r="O70"/>
  <c r="O71" s="1"/>
  <c r="M70"/>
  <c r="M71" s="1"/>
  <c r="K70"/>
  <c r="K71" s="1"/>
  <c r="I70"/>
  <c r="I71" s="1"/>
  <c r="N66"/>
  <c r="L66"/>
  <c r="J66"/>
  <c r="H66"/>
  <c r="G66"/>
  <c r="F66"/>
  <c r="E66"/>
  <c r="O65"/>
  <c r="O66" s="1"/>
  <c r="M65"/>
  <c r="M66" s="1"/>
  <c r="K65"/>
  <c r="K66" s="1"/>
  <c r="I65"/>
  <c r="I66" s="1"/>
  <c r="N61"/>
  <c r="L61"/>
  <c r="J61"/>
  <c r="H61"/>
  <c r="G61"/>
  <c r="F61"/>
  <c r="E61"/>
  <c r="O60"/>
  <c r="O61" s="1"/>
  <c r="M60"/>
  <c r="M61" s="1"/>
  <c r="K60"/>
  <c r="K61" s="1"/>
  <c r="I60"/>
  <c r="I61" s="1"/>
  <c r="N56"/>
  <c r="L56"/>
  <c r="J56"/>
  <c r="H56"/>
  <c r="G56"/>
  <c r="F56"/>
  <c r="E56"/>
  <c r="O55"/>
  <c r="O56" s="1"/>
  <c r="M55"/>
  <c r="M56" s="1"/>
  <c r="K55"/>
  <c r="K56" s="1"/>
  <c r="I55"/>
  <c r="I56" s="1"/>
  <c r="N51"/>
  <c r="L51"/>
  <c r="J51"/>
  <c r="H51"/>
  <c r="F51"/>
  <c r="E51"/>
  <c r="O50"/>
  <c r="O51" s="1"/>
  <c r="M50"/>
  <c r="M51" s="1"/>
  <c r="K50"/>
  <c r="K51" s="1"/>
  <c r="I50"/>
  <c r="G50"/>
  <c r="G51" s="1"/>
  <c r="N46"/>
  <c r="L46"/>
  <c r="J46"/>
  <c r="H46"/>
  <c r="F46"/>
  <c r="E46"/>
  <c r="O45"/>
  <c r="O46" s="1"/>
  <c r="M45"/>
  <c r="M46" s="1"/>
  <c r="K45"/>
  <c r="K46" s="1"/>
  <c r="I45"/>
  <c r="I46" s="1"/>
  <c r="G45"/>
  <c r="N41"/>
  <c r="L41"/>
  <c r="J41"/>
  <c r="H41"/>
  <c r="G41"/>
  <c r="F41"/>
  <c r="E41"/>
  <c r="O40"/>
  <c r="O41" s="1"/>
  <c r="M40"/>
  <c r="M41" s="1"/>
  <c r="K40"/>
  <c r="K41" s="1"/>
  <c r="I40"/>
  <c r="N36"/>
  <c r="L36"/>
  <c r="J36"/>
  <c r="H36"/>
  <c r="G36"/>
  <c r="F36"/>
  <c r="E36"/>
  <c r="D36"/>
  <c r="O35"/>
  <c r="O36" s="1"/>
  <c r="M35"/>
  <c r="M36" s="1"/>
  <c r="K35"/>
  <c r="K36" s="1"/>
  <c r="I35"/>
  <c r="N31"/>
  <c r="L31"/>
  <c r="J31"/>
  <c r="H31"/>
  <c r="G31"/>
  <c r="F31"/>
  <c r="E31"/>
  <c r="O30"/>
  <c r="O31" s="1"/>
  <c r="M30"/>
  <c r="M31" s="1"/>
  <c r="K30"/>
  <c r="I30"/>
  <c r="I31" s="1"/>
  <c r="N26"/>
  <c r="L26"/>
  <c r="J26"/>
  <c r="H26"/>
  <c r="F26"/>
  <c r="E26"/>
  <c r="O25"/>
  <c r="O26" s="1"/>
  <c r="M25"/>
  <c r="M26" s="1"/>
  <c r="K25"/>
  <c r="K26" s="1"/>
  <c r="I25"/>
  <c r="I26" s="1"/>
  <c r="G25"/>
  <c r="G26" s="1"/>
  <c r="N21"/>
  <c r="L21"/>
  <c r="J21"/>
  <c r="H21"/>
  <c r="F21"/>
  <c r="E21"/>
  <c r="O20"/>
  <c r="O21" s="1"/>
  <c r="M20"/>
  <c r="M21" s="1"/>
  <c r="K20"/>
  <c r="K21" s="1"/>
  <c r="I20"/>
  <c r="I21" s="1"/>
  <c r="G20"/>
  <c r="G21" s="1"/>
  <c r="N16"/>
  <c r="L16"/>
  <c r="J16"/>
  <c r="H16"/>
  <c r="G16"/>
  <c r="F16"/>
  <c r="E16"/>
  <c r="O15"/>
  <c r="O16" s="1"/>
  <c r="M15"/>
  <c r="M16" s="1"/>
  <c r="K15"/>
  <c r="K16" s="1"/>
  <c r="I15"/>
  <c r="N11"/>
  <c r="L11"/>
  <c r="J11"/>
  <c r="H11"/>
  <c r="F11"/>
  <c r="E11"/>
  <c r="O10"/>
  <c r="O11" s="1"/>
  <c r="M10"/>
  <c r="M11" s="1"/>
  <c r="K10"/>
  <c r="I10"/>
  <c r="I11" s="1"/>
  <c r="G10"/>
  <c r="G11" s="1"/>
  <c r="N6"/>
  <c r="L6"/>
  <c r="J6"/>
  <c r="H6"/>
  <c r="F6"/>
  <c r="E6"/>
  <c r="O5"/>
  <c r="O6" s="1"/>
  <c r="M5"/>
  <c r="M6" s="1"/>
  <c r="K5"/>
  <c r="K6" s="1"/>
  <c r="I5"/>
  <c r="I6" s="1"/>
  <c r="G5"/>
  <c r="G6" s="1"/>
  <c r="AF15" i="43" l="1"/>
  <c r="B17" i="2"/>
  <c r="G26" i="21"/>
  <c r="O15" i="43"/>
  <c r="I11" i="47"/>
  <c r="B49" i="2" s="1"/>
  <c r="G6" i="25"/>
  <c r="G51" i="22"/>
  <c r="B31" i="3"/>
  <c r="B45" s="1"/>
  <c r="G30" i="34"/>
  <c r="F30"/>
  <c r="F26" i="21"/>
  <c r="G9" i="31"/>
  <c r="G42" i="44"/>
  <c r="G6" i="45"/>
  <c r="G6" i="50"/>
  <c r="I72" i="22"/>
  <c r="I13" i="48"/>
  <c r="B48" i="2" s="1"/>
  <c r="F48" i="53"/>
  <c r="B4" i="2"/>
  <c r="I32" i="40"/>
  <c r="F7" i="17"/>
  <c r="G8" i="52"/>
  <c r="G6" i="51"/>
  <c r="F8" i="52"/>
  <c r="G6" i="47"/>
  <c r="G9"/>
  <c r="G6" i="48"/>
  <c r="G11"/>
  <c r="F6"/>
  <c r="F42" i="44"/>
  <c r="F6" i="45"/>
  <c r="Y6" i="43"/>
  <c r="Y10"/>
  <c r="AA10" s="1"/>
  <c r="Y7"/>
  <c r="AA7" s="1"/>
  <c r="Y9"/>
  <c r="AA9" s="1"/>
  <c r="I15"/>
  <c r="S15"/>
  <c r="Y8"/>
  <c r="AA8" s="1"/>
  <c r="Y5"/>
  <c r="Y12"/>
  <c r="AA12" s="1"/>
  <c r="Y14"/>
  <c r="AA14" s="1"/>
  <c r="Y11"/>
  <c r="AA11" s="1"/>
  <c r="Y13"/>
  <c r="AA13" s="1"/>
  <c r="O16" i="41"/>
  <c r="AA5" i="43"/>
  <c r="K15"/>
  <c r="I16" i="41"/>
  <c r="Y15"/>
  <c r="AA15" s="1"/>
  <c r="G8" i="42"/>
  <c r="S16" i="41"/>
  <c r="Y8"/>
  <c r="AA8" s="1"/>
  <c r="Y10"/>
  <c r="AA10" s="1"/>
  <c r="Y12"/>
  <c r="AA12" s="1"/>
  <c r="Y5"/>
  <c r="AA5" s="1"/>
  <c r="Y7"/>
  <c r="AA7" s="1"/>
  <c r="Y9"/>
  <c r="AA9" s="1"/>
  <c r="Y11"/>
  <c r="AA11" s="1"/>
  <c r="Y13"/>
  <c r="AA13" s="1"/>
  <c r="K16"/>
  <c r="AF16"/>
  <c r="Y6"/>
  <c r="AA6" s="1"/>
  <c r="M16"/>
  <c r="G21" i="40"/>
  <c r="D32"/>
  <c r="F21"/>
  <c r="E32"/>
  <c r="F32" s="1"/>
  <c r="G30"/>
  <c r="F8" i="38"/>
  <c r="G8"/>
  <c r="G21" i="37"/>
  <c r="G16" i="36"/>
  <c r="F21" i="37"/>
  <c r="G9" i="35"/>
  <c r="G8" i="33"/>
  <c r="G9" i="32"/>
  <c r="F9" i="31"/>
  <c r="P55" i="14"/>
  <c r="P56" s="1"/>
  <c r="AF6" i="30"/>
  <c r="AE6"/>
  <c r="Y5"/>
  <c r="G6"/>
  <c r="F12" i="29"/>
  <c r="G12"/>
  <c r="G30" i="28"/>
  <c r="AF6" i="27"/>
  <c r="Y5"/>
  <c r="O6"/>
  <c r="E9" i="26"/>
  <c r="D10" i="24"/>
  <c r="E10"/>
  <c r="F51" i="22"/>
  <c r="G45"/>
  <c r="G35"/>
  <c r="G7" i="17"/>
  <c r="C16" i="14"/>
  <c r="Y5" i="15"/>
  <c r="G6"/>
  <c r="K81" i="14"/>
  <c r="G46"/>
  <c r="I36"/>
  <c r="K31"/>
  <c r="I51"/>
  <c r="K11"/>
  <c r="I16"/>
  <c r="I76"/>
  <c r="I41"/>
  <c r="E314" i="8"/>
  <c r="F314"/>
  <c r="G314"/>
  <c r="H314"/>
  <c r="J314"/>
  <c r="L314"/>
  <c r="N314"/>
  <c r="P314"/>
  <c r="R314"/>
  <c r="B6" i="2" l="1"/>
  <c r="B56" s="1"/>
  <c r="P30" i="14"/>
  <c r="P31" s="1"/>
  <c r="P65"/>
  <c r="P66" s="1"/>
  <c r="P75"/>
  <c r="P76" s="1"/>
  <c r="P85"/>
  <c r="P86" s="1"/>
  <c r="Y6" i="30"/>
  <c r="AH6" s="1"/>
  <c r="P50" i="14"/>
  <c r="P51" s="1"/>
  <c r="P60"/>
  <c r="P61" s="1"/>
  <c r="P80"/>
  <c r="P81" s="1"/>
  <c r="P25"/>
  <c r="P26" s="1"/>
  <c r="Y6" i="27"/>
  <c r="AH6" s="1"/>
  <c r="P35" i="14"/>
  <c r="P36" s="1"/>
  <c r="P40"/>
  <c r="P41" s="1"/>
  <c r="P45"/>
  <c r="P46" s="1"/>
  <c r="G32" i="40"/>
  <c r="P70" i="14"/>
  <c r="P71" s="1"/>
  <c r="P20"/>
  <c r="P21" s="1"/>
  <c r="Y15" i="43"/>
  <c r="Y16" i="41"/>
  <c r="F9" i="26"/>
  <c r="G9"/>
  <c r="G10" i="24"/>
  <c r="F10"/>
  <c r="Y6" i="15"/>
  <c r="AA6" s="1"/>
  <c r="P10" i="14"/>
  <c r="P11" s="1"/>
  <c r="P5"/>
  <c r="P6" s="1"/>
  <c r="P15"/>
  <c r="R208" i="8"/>
  <c r="S656"/>
  <c r="S669"/>
  <c r="S639"/>
  <c r="S636"/>
  <c r="S651"/>
  <c r="S646"/>
  <c r="S633"/>
  <c r="S627"/>
  <c r="S622"/>
  <c r="S617"/>
  <c r="S612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66"/>
  <c r="S565"/>
  <c r="S564"/>
  <c r="S563"/>
  <c r="S562"/>
  <c r="S561"/>
  <c r="S560"/>
  <c r="S559"/>
  <c r="S558"/>
  <c r="S557"/>
  <c r="S552"/>
  <c r="S551"/>
  <c r="Y551" s="1"/>
  <c r="S550"/>
  <c r="S549"/>
  <c r="S548"/>
  <c r="S547"/>
  <c r="S546"/>
  <c r="S545"/>
  <c r="S544"/>
  <c r="S543"/>
  <c r="S542"/>
  <c r="W553"/>
  <c r="V553"/>
  <c r="U553"/>
  <c r="T553"/>
  <c r="R553"/>
  <c r="Q553"/>
  <c r="P553"/>
  <c r="N553"/>
  <c r="L553"/>
  <c r="J553"/>
  <c r="H553"/>
  <c r="G553"/>
  <c r="F553"/>
  <c r="E553"/>
  <c r="D553"/>
  <c r="C553"/>
  <c r="O552"/>
  <c r="M552"/>
  <c r="K552"/>
  <c r="I552"/>
  <c r="O550"/>
  <c r="M550"/>
  <c r="K550"/>
  <c r="I550"/>
  <c r="O549"/>
  <c r="M549"/>
  <c r="K549"/>
  <c r="I549"/>
  <c r="O548"/>
  <c r="M548"/>
  <c r="K548"/>
  <c r="I548"/>
  <c r="O547"/>
  <c r="M547"/>
  <c r="K547"/>
  <c r="I547"/>
  <c r="O546"/>
  <c r="M546"/>
  <c r="K546"/>
  <c r="I546"/>
  <c r="O545"/>
  <c r="M545"/>
  <c r="K545"/>
  <c r="I545"/>
  <c r="O544"/>
  <c r="M544"/>
  <c r="K544"/>
  <c r="I544"/>
  <c r="O543"/>
  <c r="M543"/>
  <c r="K543"/>
  <c r="I543"/>
  <c r="O542"/>
  <c r="M542"/>
  <c r="K542"/>
  <c r="I542"/>
  <c r="S537"/>
  <c r="S536"/>
  <c r="S535"/>
  <c r="S524"/>
  <c r="Y524" s="1"/>
  <c r="AA524" s="1"/>
  <c r="P529"/>
  <c r="R520"/>
  <c r="S528"/>
  <c r="S527"/>
  <c r="S526"/>
  <c r="S525"/>
  <c r="S523"/>
  <c r="S519"/>
  <c r="S518"/>
  <c r="S517"/>
  <c r="S516"/>
  <c r="S515"/>
  <c r="S514"/>
  <c r="S513"/>
  <c r="S512"/>
  <c r="S511"/>
  <c r="S510"/>
  <c r="S509"/>
  <c r="S508"/>
  <c r="S507"/>
  <c r="S506"/>
  <c r="S505"/>
  <c r="S499"/>
  <c r="S494"/>
  <c r="S493"/>
  <c r="S492"/>
  <c r="R453"/>
  <c r="S487"/>
  <c r="S486"/>
  <c r="S485"/>
  <c r="S484"/>
  <c r="S483"/>
  <c r="S482"/>
  <c r="S481"/>
  <c r="S480"/>
  <c r="S479"/>
  <c r="S478"/>
  <c r="S477"/>
  <c r="S476"/>
  <c r="S475"/>
  <c r="S474"/>
  <c r="S473"/>
  <c r="S472"/>
  <c r="S467"/>
  <c r="S466"/>
  <c r="S465"/>
  <c r="S464"/>
  <c r="S463"/>
  <c r="S462"/>
  <c r="S461"/>
  <c r="S460"/>
  <c r="S459"/>
  <c r="S458"/>
  <c r="S457"/>
  <c r="S452"/>
  <c r="S451"/>
  <c r="S450"/>
  <c r="S449"/>
  <c r="S443"/>
  <c r="S438"/>
  <c r="R427"/>
  <c r="E405"/>
  <c r="F405"/>
  <c r="H405"/>
  <c r="J405"/>
  <c r="L405"/>
  <c r="N405"/>
  <c r="P405"/>
  <c r="R405"/>
  <c r="S428"/>
  <c r="S419"/>
  <c r="S433"/>
  <c r="S432"/>
  <c r="S431"/>
  <c r="S430"/>
  <c r="S429"/>
  <c r="S426"/>
  <c r="S425"/>
  <c r="S424"/>
  <c r="S423"/>
  <c r="S422"/>
  <c r="S421"/>
  <c r="S420"/>
  <c r="S418"/>
  <c r="S417"/>
  <c r="S416"/>
  <c r="S415"/>
  <c r="S414"/>
  <c r="S413"/>
  <c r="S412"/>
  <c r="S411"/>
  <c r="S410"/>
  <c r="S409"/>
  <c r="S404"/>
  <c r="S403"/>
  <c r="S402"/>
  <c r="S401"/>
  <c r="S396"/>
  <c r="S395"/>
  <c r="S394"/>
  <c r="S388"/>
  <c r="S383"/>
  <c r="S382"/>
  <c r="S381"/>
  <c r="S375"/>
  <c r="S369"/>
  <c r="S364"/>
  <c r="S363"/>
  <c r="S362"/>
  <c r="S361"/>
  <c r="S360"/>
  <c r="S359"/>
  <c r="S358"/>
  <c r="S352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18"/>
  <c r="S313"/>
  <c r="S314" s="1"/>
  <c r="S299"/>
  <c r="S306"/>
  <c r="S305"/>
  <c r="S304"/>
  <c r="S303"/>
  <c r="S300"/>
  <c r="S298"/>
  <c r="S297"/>
  <c r="S296"/>
  <c r="S289"/>
  <c r="AC240"/>
  <c r="R228"/>
  <c r="R241"/>
  <c r="S241" s="1"/>
  <c r="S281"/>
  <c r="R233"/>
  <c r="R216"/>
  <c r="R215"/>
  <c r="R213"/>
  <c r="R273"/>
  <c r="S276"/>
  <c r="S272"/>
  <c r="S271"/>
  <c r="S270"/>
  <c r="S269"/>
  <c r="S265"/>
  <c r="S264"/>
  <c r="S263"/>
  <c r="S262"/>
  <c r="S261"/>
  <c r="S257"/>
  <c r="S256"/>
  <c r="S255"/>
  <c r="S251"/>
  <c r="S250"/>
  <c r="S249"/>
  <c r="S248"/>
  <c r="S247"/>
  <c r="S246"/>
  <c r="S245"/>
  <c r="S240"/>
  <c r="S239"/>
  <c r="S238"/>
  <c r="S237"/>
  <c r="S236"/>
  <c r="S235"/>
  <c r="S234"/>
  <c r="S232"/>
  <c r="S231"/>
  <c r="S230"/>
  <c r="S229"/>
  <c r="S227"/>
  <c r="S226"/>
  <c r="S225"/>
  <c r="S224"/>
  <c r="S223"/>
  <c r="S222"/>
  <c r="S221"/>
  <c r="S220"/>
  <c r="S219"/>
  <c r="S218"/>
  <c r="S217"/>
  <c r="S214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52"/>
  <c r="S161"/>
  <c r="S128"/>
  <c r="S100"/>
  <c r="S79"/>
  <c r="S91"/>
  <c r="S86"/>
  <c r="S85"/>
  <c r="S74"/>
  <c r="S73"/>
  <c r="S72"/>
  <c r="S66"/>
  <c r="S60"/>
  <c r="S55"/>
  <c r="S50"/>
  <c r="S49"/>
  <c r="S48"/>
  <c r="S47"/>
  <c r="S46"/>
  <c r="S45"/>
  <c r="S40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6"/>
  <c r="S7"/>
  <c r="S5"/>
  <c r="Q656"/>
  <c r="Q669"/>
  <c r="Q664"/>
  <c r="Q663"/>
  <c r="Q662"/>
  <c r="Q651"/>
  <c r="Q646"/>
  <c r="Q639"/>
  <c r="Q636"/>
  <c r="Q633"/>
  <c r="Q627"/>
  <c r="Q622"/>
  <c r="Q617"/>
  <c r="Q612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37"/>
  <c r="Q536"/>
  <c r="Q535"/>
  <c r="P520"/>
  <c r="Q528"/>
  <c r="Q527"/>
  <c r="Q526"/>
  <c r="Q525"/>
  <c r="Q523"/>
  <c r="Q519"/>
  <c r="Q518"/>
  <c r="Q517"/>
  <c r="Q516"/>
  <c r="Q515"/>
  <c r="Q514"/>
  <c r="Q513"/>
  <c r="Q512"/>
  <c r="Q511"/>
  <c r="Q510"/>
  <c r="Q509"/>
  <c r="Q508"/>
  <c r="Q507"/>
  <c r="Q506"/>
  <c r="Q505"/>
  <c r="Q499"/>
  <c r="Q494"/>
  <c r="Q493"/>
  <c r="Q492"/>
  <c r="P453"/>
  <c r="Q487"/>
  <c r="Q486"/>
  <c r="Q485"/>
  <c r="Q484"/>
  <c r="Q483"/>
  <c r="Q482"/>
  <c r="Q481"/>
  <c r="Q480"/>
  <c r="Q479"/>
  <c r="Q478"/>
  <c r="Q477"/>
  <c r="Q476"/>
  <c r="Q475"/>
  <c r="Q474"/>
  <c r="Q473"/>
  <c r="Q472"/>
  <c r="Q467"/>
  <c r="Q466"/>
  <c r="Q465"/>
  <c r="Q464"/>
  <c r="Q463"/>
  <c r="Q462"/>
  <c r="Q461"/>
  <c r="Q460"/>
  <c r="Q459"/>
  <c r="Q458"/>
  <c r="Q457"/>
  <c r="Q452"/>
  <c r="Q451"/>
  <c r="Q450"/>
  <c r="Q449"/>
  <c r="P427"/>
  <c r="Q443"/>
  <c r="Q438"/>
  <c r="Q415"/>
  <c r="D434"/>
  <c r="Q428"/>
  <c r="Q433"/>
  <c r="Q432"/>
  <c r="Q431"/>
  <c r="Q430"/>
  <c r="Q429"/>
  <c r="Q426"/>
  <c r="Q425"/>
  <c r="Q424"/>
  <c r="Q423"/>
  <c r="Q422"/>
  <c r="Q421"/>
  <c r="Q420"/>
  <c r="Q419"/>
  <c r="Q418"/>
  <c r="Q417"/>
  <c r="Q416"/>
  <c r="Q414"/>
  <c r="Q413"/>
  <c r="Q412"/>
  <c r="Q411"/>
  <c r="Q410"/>
  <c r="Q409"/>
  <c r="Q404"/>
  <c r="Q403"/>
  <c r="Q402"/>
  <c r="Q401"/>
  <c r="Q396"/>
  <c r="Q395"/>
  <c r="Q394"/>
  <c r="Q388"/>
  <c r="Q383"/>
  <c r="Q382"/>
  <c r="Q381"/>
  <c r="Q375"/>
  <c r="Q369"/>
  <c r="Q364"/>
  <c r="Q363"/>
  <c r="Q362"/>
  <c r="Q361"/>
  <c r="Q360"/>
  <c r="Q359"/>
  <c r="Q358"/>
  <c r="Q352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18"/>
  <c r="Q313"/>
  <c r="Q314" s="1"/>
  <c r="Q306"/>
  <c r="Q305"/>
  <c r="Q304"/>
  <c r="Q303"/>
  <c r="Q300"/>
  <c r="Q299"/>
  <c r="Q298"/>
  <c r="Q297"/>
  <c r="Q296"/>
  <c r="Q289"/>
  <c r="P233"/>
  <c r="P228"/>
  <c r="P216"/>
  <c r="P215"/>
  <c r="P213"/>
  <c r="P273"/>
  <c r="Q281"/>
  <c r="Q276"/>
  <c r="Q272"/>
  <c r="Q271"/>
  <c r="Q270"/>
  <c r="Q269"/>
  <c r="Q265"/>
  <c r="Q264"/>
  <c r="Q263"/>
  <c r="Q262"/>
  <c r="Q261"/>
  <c r="Q257"/>
  <c r="Q256"/>
  <c r="Q255"/>
  <c r="Q251"/>
  <c r="Q250"/>
  <c r="Q249"/>
  <c r="Q248"/>
  <c r="Q247"/>
  <c r="Q246"/>
  <c r="Q245"/>
  <c r="Q241"/>
  <c r="Q240"/>
  <c r="Q239"/>
  <c r="Q238"/>
  <c r="Q237"/>
  <c r="Q236"/>
  <c r="Q235"/>
  <c r="Q234"/>
  <c r="Q232"/>
  <c r="Q231"/>
  <c r="Q230"/>
  <c r="Q229"/>
  <c r="Q227"/>
  <c r="Q226"/>
  <c r="Q225"/>
  <c r="Q224"/>
  <c r="Q223"/>
  <c r="Q222"/>
  <c r="Q221"/>
  <c r="Q220"/>
  <c r="Q219"/>
  <c r="Q218"/>
  <c r="Q217"/>
  <c r="Q214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52"/>
  <c r="Q100"/>
  <c r="Q161"/>
  <c r="Q128"/>
  <c r="Q79"/>
  <c r="Q91"/>
  <c r="Q86"/>
  <c r="Q85"/>
  <c r="Q74"/>
  <c r="Q73"/>
  <c r="Q72"/>
  <c r="Q55"/>
  <c r="Q66"/>
  <c r="Q60"/>
  <c r="Q50"/>
  <c r="Q49"/>
  <c r="Q48"/>
  <c r="Q47"/>
  <c r="Q46"/>
  <c r="Q45"/>
  <c r="Q40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6"/>
  <c r="Q7"/>
  <c r="Q5"/>
  <c r="AA13" i="6"/>
  <c r="C8" i="8"/>
  <c r="D87"/>
  <c r="E87"/>
  <c r="F87"/>
  <c r="H87"/>
  <c r="J87"/>
  <c r="L87"/>
  <c r="N87"/>
  <c r="P87"/>
  <c r="R87"/>
  <c r="T87"/>
  <c r="U87"/>
  <c r="V87"/>
  <c r="W87"/>
  <c r="C87"/>
  <c r="N67"/>
  <c r="W75"/>
  <c r="V75"/>
  <c r="U75"/>
  <c r="T75"/>
  <c r="R75"/>
  <c r="P75"/>
  <c r="N75"/>
  <c r="L75"/>
  <c r="J75"/>
  <c r="H75"/>
  <c r="F75"/>
  <c r="E75"/>
  <c r="D75"/>
  <c r="C75"/>
  <c r="S216" l="1"/>
  <c r="S427"/>
  <c r="AA15" i="43"/>
  <c r="S87" i="8"/>
  <c r="AA16" i="41"/>
  <c r="P16" i="14"/>
  <c r="Q75" i="8"/>
  <c r="S233"/>
  <c r="S213"/>
  <c r="Q405"/>
  <c r="Y415"/>
  <c r="AA415" s="1"/>
  <c r="S75"/>
  <c r="I553"/>
  <c r="Y546"/>
  <c r="AA546" s="1"/>
  <c r="Y550"/>
  <c r="AA550" s="1"/>
  <c r="S228"/>
  <c r="Q87"/>
  <c r="S215"/>
  <c r="S553"/>
  <c r="Y549"/>
  <c r="AA549" s="1"/>
  <c r="Y544"/>
  <c r="AA544" s="1"/>
  <c r="Y547"/>
  <c r="AA547" s="1"/>
  <c r="Y552"/>
  <c r="AA552" s="1"/>
  <c r="Y548"/>
  <c r="AA548" s="1"/>
  <c r="M553"/>
  <c r="Y545"/>
  <c r="AA545" s="1"/>
  <c r="Y543"/>
  <c r="AA543" s="1"/>
  <c r="O553"/>
  <c r="K553"/>
  <c r="Y542"/>
  <c r="Z415"/>
  <c r="O656"/>
  <c r="O669"/>
  <c r="O639"/>
  <c r="O636"/>
  <c r="O651"/>
  <c r="O646"/>
  <c r="O633"/>
  <c r="O627"/>
  <c r="O622"/>
  <c r="O617"/>
  <c r="O612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66"/>
  <c r="O565"/>
  <c r="O564"/>
  <c r="O563"/>
  <c r="O562"/>
  <c r="O561"/>
  <c r="O560"/>
  <c r="O559"/>
  <c r="O558"/>
  <c r="O557"/>
  <c r="O537"/>
  <c r="O536"/>
  <c r="O535"/>
  <c r="N520"/>
  <c r="W500"/>
  <c r="V500"/>
  <c r="U500"/>
  <c r="T500"/>
  <c r="S500"/>
  <c r="R500"/>
  <c r="Q500"/>
  <c r="P500"/>
  <c r="N500"/>
  <c r="L500"/>
  <c r="J500"/>
  <c r="H500"/>
  <c r="F500"/>
  <c r="E500"/>
  <c r="D500"/>
  <c r="C500"/>
  <c r="O499"/>
  <c r="O500" s="1"/>
  <c r="M500"/>
  <c r="K500"/>
  <c r="I500"/>
  <c r="G500"/>
  <c r="O528"/>
  <c r="O527"/>
  <c r="O526"/>
  <c r="O525"/>
  <c r="O523"/>
  <c r="O519"/>
  <c r="O518"/>
  <c r="O517"/>
  <c r="O516"/>
  <c r="O515"/>
  <c r="O514"/>
  <c r="O513"/>
  <c r="O512"/>
  <c r="O511"/>
  <c r="O510"/>
  <c r="O509"/>
  <c r="O508"/>
  <c r="O507"/>
  <c r="O506"/>
  <c r="O505"/>
  <c r="O494"/>
  <c r="O493"/>
  <c r="O492"/>
  <c r="O487"/>
  <c r="O486"/>
  <c r="O485"/>
  <c r="O484"/>
  <c r="O483"/>
  <c r="O482"/>
  <c r="O481"/>
  <c r="O480"/>
  <c r="O479"/>
  <c r="O478"/>
  <c r="O477"/>
  <c r="O476"/>
  <c r="O475"/>
  <c r="O474"/>
  <c r="O473"/>
  <c r="O472"/>
  <c r="O467"/>
  <c r="O466"/>
  <c r="O465"/>
  <c r="O464"/>
  <c r="O463"/>
  <c r="O462"/>
  <c r="O461"/>
  <c r="O460"/>
  <c r="O459"/>
  <c r="O458"/>
  <c r="O457"/>
  <c r="N453"/>
  <c r="O452"/>
  <c r="O451"/>
  <c r="O450"/>
  <c r="O449"/>
  <c r="O443"/>
  <c r="O438"/>
  <c r="N427"/>
  <c r="Q427" s="1"/>
  <c r="O433"/>
  <c r="O432"/>
  <c r="O431"/>
  <c r="O430"/>
  <c r="O429"/>
  <c r="O428"/>
  <c r="O426"/>
  <c r="O425"/>
  <c r="O424"/>
  <c r="O423"/>
  <c r="O422"/>
  <c r="O421"/>
  <c r="O420"/>
  <c r="O419"/>
  <c r="O418"/>
  <c r="O417"/>
  <c r="O416"/>
  <c r="O414"/>
  <c r="O413"/>
  <c r="O412"/>
  <c r="O411"/>
  <c r="O410"/>
  <c r="O409"/>
  <c r="O404"/>
  <c r="O403"/>
  <c r="O402"/>
  <c r="O401"/>
  <c r="O396"/>
  <c r="O395"/>
  <c r="O394"/>
  <c r="O388"/>
  <c r="O383"/>
  <c r="O382"/>
  <c r="O381"/>
  <c r="O375"/>
  <c r="O369"/>
  <c r="O364"/>
  <c r="O363"/>
  <c r="O362"/>
  <c r="O361"/>
  <c r="O360"/>
  <c r="O359"/>
  <c r="O358"/>
  <c r="O352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18"/>
  <c r="O313"/>
  <c r="O314" s="1"/>
  <c r="O306"/>
  <c r="O305"/>
  <c r="O304"/>
  <c r="O303"/>
  <c r="O300"/>
  <c r="O299"/>
  <c r="O298"/>
  <c r="O297"/>
  <c r="O296"/>
  <c r="O289"/>
  <c r="O281"/>
  <c r="N273"/>
  <c r="N233"/>
  <c r="Q233" s="1"/>
  <c r="N228"/>
  <c r="Q228" s="1"/>
  <c r="N216"/>
  <c r="Q216" s="1"/>
  <c r="N215"/>
  <c r="Q215" s="1"/>
  <c r="N213"/>
  <c r="Q213" s="1"/>
  <c r="O276"/>
  <c r="O272"/>
  <c r="O271"/>
  <c r="O270"/>
  <c r="O269"/>
  <c r="O265"/>
  <c r="O264"/>
  <c r="O263"/>
  <c r="O262"/>
  <c r="O261"/>
  <c r="O257"/>
  <c r="O256"/>
  <c r="O255"/>
  <c r="O251"/>
  <c r="O250"/>
  <c r="O249"/>
  <c r="O248"/>
  <c r="O247"/>
  <c r="O246"/>
  <c r="O245"/>
  <c r="O241"/>
  <c r="O240"/>
  <c r="O239"/>
  <c r="O238"/>
  <c r="O237"/>
  <c r="O236"/>
  <c r="O235"/>
  <c r="O234"/>
  <c r="O232"/>
  <c r="O231"/>
  <c r="O230"/>
  <c r="O229"/>
  <c r="O227"/>
  <c r="O226"/>
  <c r="O225"/>
  <c r="O224"/>
  <c r="O223"/>
  <c r="O222"/>
  <c r="O221"/>
  <c r="O220"/>
  <c r="O219"/>
  <c r="O218"/>
  <c r="O217"/>
  <c r="O214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52"/>
  <c r="O161"/>
  <c r="O128"/>
  <c r="O100"/>
  <c r="O91"/>
  <c r="O86"/>
  <c r="O85"/>
  <c r="O79"/>
  <c r="O74"/>
  <c r="O73"/>
  <c r="O72"/>
  <c r="O66"/>
  <c r="O60"/>
  <c r="O55"/>
  <c r="O50"/>
  <c r="O49"/>
  <c r="O48"/>
  <c r="O47"/>
  <c r="O46"/>
  <c r="O45"/>
  <c r="O40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6"/>
  <c r="O7"/>
  <c r="O5"/>
  <c r="Z37" i="6"/>
  <c r="Z36"/>
  <c r="AF61"/>
  <c r="Z33"/>
  <c r="Z19"/>
  <c r="Q61"/>
  <c r="AH61" l="1"/>
  <c r="O75" i="8"/>
  <c r="O87"/>
  <c r="O405"/>
  <c r="AA542"/>
  <c r="Y553"/>
  <c r="AG61" i="6"/>
  <c r="Y499" i="8"/>
  <c r="M646"/>
  <c r="M669"/>
  <c r="M664"/>
  <c r="M663"/>
  <c r="M662"/>
  <c r="M656"/>
  <c r="M651"/>
  <c r="M639"/>
  <c r="M640" s="1"/>
  <c r="M636"/>
  <c r="M633"/>
  <c r="M627"/>
  <c r="M617"/>
  <c r="M612"/>
  <c r="M613" s="1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66"/>
  <c r="M565"/>
  <c r="M564"/>
  <c r="M563"/>
  <c r="M562"/>
  <c r="M561"/>
  <c r="M560"/>
  <c r="M559"/>
  <c r="M558"/>
  <c r="M557"/>
  <c r="M537"/>
  <c r="M536"/>
  <c r="M535"/>
  <c r="C520"/>
  <c r="D520"/>
  <c r="J520"/>
  <c r="L520"/>
  <c r="M519"/>
  <c r="Y519" s="1"/>
  <c r="M528"/>
  <c r="M527"/>
  <c r="M526"/>
  <c r="M525"/>
  <c r="M518"/>
  <c r="M517"/>
  <c r="M516"/>
  <c r="M515"/>
  <c r="M514"/>
  <c r="M513"/>
  <c r="M512"/>
  <c r="M511"/>
  <c r="M510"/>
  <c r="M509"/>
  <c r="M508"/>
  <c r="M507"/>
  <c r="M506"/>
  <c r="M505"/>
  <c r="M494"/>
  <c r="M493"/>
  <c r="M492"/>
  <c r="M487"/>
  <c r="M486"/>
  <c r="M485"/>
  <c r="M484"/>
  <c r="M483"/>
  <c r="M482"/>
  <c r="M481"/>
  <c r="M480"/>
  <c r="M479"/>
  <c r="M478"/>
  <c r="M477"/>
  <c r="M476"/>
  <c r="M475"/>
  <c r="M474"/>
  <c r="M473"/>
  <c r="M472"/>
  <c r="M467"/>
  <c r="M466"/>
  <c r="M465"/>
  <c r="M464"/>
  <c r="M463"/>
  <c r="M462"/>
  <c r="M461"/>
  <c r="M460"/>
  <c r="M459"/>
  <c r="M458"/>
  <c r="M457"/>
  <c r="L453"/>
  <c r="M452"/>
  <c r="M451"/>
  <c r="M450"/>
  <c r="M449"/>
  <c r="M443"/>
  <c r="M438"/>
  <c r="L427"/>
  <c r="O427" s="1"/>
  <c r="M433"/>
  <c r="M432"/>
  <c r="M431"/>
  <c r="M430"/>
  <c r="M429"/>
  <c r="M428"/>
  <c r="M426"/>
  <c r="M425"/>
  <c r="M424"/>
  <c r="M423"/>
  <c r="M422"/>
  <c r="M421"/>
  <c r="M420"/>
  <c r="M419"/>
  <c r="M418"/>
  <c r="M417"/>
  <c r="M416"/>
  <c r="M414"/>
  <c r="M413"/>
  <c r="M412"/>
  <c r="M411"/>
  <c r="M410"/>
  <c r="M409"/>
  <c r="M404"/>
  <c r="M403"/>
  <c r="M402"/>
  <c r="M401"/>
  <c r="M396"/>
  <c r="M395"/>
  <c r="M394"/>
  <c r="M388"/>
  <c r="M383"/>
  <c r="M382"/>
  <c r="M381"/>
  <c r="M375"/>
  <c r="M369"/>
  <c r="M370" s="1"/>
  <c r="M364"/>
  <c r="M363"/>
  <c r="M362"/>
  <c r="M361"/>
  <c r="M360"/>
  <c r="M359"/>
  <c r="M358"/>
  <c r="M352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18"/>
  <c r="M313"/>
  <c r="M314" s="1"/>
  <c r="M306"/>
  <c r="M305"/>
  <c r="M304"/>
  <c r="M303"/>
  <c r="M300"/>
  <c r="M299"/>
  <c r="M298"/>
  <c r="M297"/>
  <c r="M296"/>
  <c r="M289"/>
  <c r="L228"/>
  <c r="O228" s="1"/>
  <c r="M270"/>
  <c r="L273"/>
  <c r="L233"/>
  <c r="M262"/>
  <c r="Y262" s="1"/>
  <c r="M256"/>
  <c r="I256"/>
  <c r="L216"/>
  <c r="O216" s="1"/>
  <c r="L215"/>
  <c r="O215" s="1"/>
  <c r="L213"/>
  <c r="O213" s="1"/>
  <c r="M281"/>
  <c r="M276"/>
  <c r="M272"/>
  <c r="M271"/>
  <c r="M269"/>
  <c r="M265"/>
  <c r="M264"/>
  <c r="M263"/>
  <c r="M261"/>
  <c r="M257"/>
  <c r="M255"/>
  <c r="M251"/>
  <c r="M250"/>
  <c r="M249"/>
  <c r="M248"/>
  <c r="M247"/>
  <c r="M246"/>
  <c r="M245"/>
  <c r="M241"/>
  <c r="M240"/>
  <c r="M239"/>
  <c r="M238"/>
  <c r="M237"/>
  <c r="M236"/>
  <c r="M235"/>
  <c r="M234"/>
  <c r="M232"/>
  <c r="M231"/>
  <c r="M230"/>
  <c r="M229"/>
  <c r="M227"/>
  <c r="M226"/>
  <c r="M225"/>
  <c r="M224"/>
  <c r="M223"/>
  <c r="M222"/>
  <c r="M221"/>
  <c r="M220"/>
  <c r="M219"/>
  <c r="M218"/>
  <c r="M217"/>
  <c r="M214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52"/>
  <c r="M161"/>
  <c r="M128"/>
  <c r="M100"/>
  <c r="M91"/>
  <c r="M86"/>
  <c r="M85"/>
  <c r="M79"/>
  <c r="M74"/>
  <c r="M73"/>
  <c r="M72"/>
  <c r="M66"/>
  <c r="M67" s="1"/>
  <c r="M60"/>
  <c r="M55"/>
  <c r="M50"/>
  <c r="M49"/>
  <c r="M48"/>
  <c r="M47"/>
  <c r="M46"/>
  <c r="M45"/>
  <c r="M40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6"/>
  <c r="M7"/>
  <c r="M5"/>
  <c r="Y73" i="6"/>
  <c r="X73"/>
  <c r="Y37"/>
  <c r="X37"/>
  <c r="Y36"/>
  <c r="Y60"/>
  <c r="Y58"/>
  <c r="Y56"/>
  <c r="Y34"/>
  <c r="Y33"/>
  <c r="Y31"/>
  <c r="Y45"/>
  <c r="Y86"/>
  <c r="Y78"/>
  <c r="Y26"/>
  <c r="Y19"/>
  <c r="X19"/>
  <c r="Y15"/>
  <c r="Y13"/>
  <c r="K664" i="8"/>
  <c r="K663"/>
  <c r="K662"/>
  <c r="K656"/>
  <c r="K669"/>
  <c r="K639"/>
  <c r="K640" s="1"/>
  <c r="K636"/>
  <c r="K651"/>
  <c r="K646"/>
  <c r="K633"/>
  <c r="K627"/>
  <c r="K622"/>
  <c r="M622" s="1"/>
  <c r="K617"/>
  <c r="K612"/>
  <c r="K613" s="1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66"/>
  <c r="K565"/>
  <c r="K564"/>
  <c r="K563"/>
  <c r="K562"/>
  <c r="K561"/>
  <c r="K560"/>
  <c r="K559"/>
  <c r="K558"/>
  <c r="K557"/>
  <c r="K537"/>
  <c r="K536"/>
  <c r="K535"/>
  <c r="K528"/>
  <c r="K527"/>
  <c r="K526"/>
  <c r="K525"/>
  <c r="K518"/>
  <c r="K517"/>
  <c r="K516"/>
  <c r="K515"/>
  <c r="K514"/>
  <c r="K513"/>
  <c r="K512"/>
  <c r="K511"/>
  <c r="K510"/>
  <c r="K509"/>
  <c r="K508"/>
  <c r="K507"/>
  <c r="K506"/>
  <c r="K505"/>
  <c r="K494"/>
  <c r="K493"/>
  <c r="K492"/>
  <c r="K487"/>
  <c r="K486"/>
  <c r="K485"/>
  <c r="K484"/>
  <c r="K483"/>
  <c r="K482"/>
  <c r="K481"/>
  <c r="K480"/>
  <c r="K479"/>
  <c r="K478"/>
  <c r="K477"/>
  <c r="K476"/>
  <c r="K475"/>
  <c r="K474"/>
  <c r="K473"/>
  <c r="K472"/>
  <c r="K467"/>
  <c r="K466"/>
  <c r="K465"/>
  <c r="K464"/>
  <c r="K463"/>
  <c r="K462"/>
  <c r="K461"/>
  <c r="K460"/>
  <c r="K459"/>
  <c r="K458"/>
  <c r="K457"/>
  <c r="J453"/>
  <c r="K452"/>
  <c r="K451"/>
  <c r="K450"/>
  <c r="K449"/>
  <c r="J427"/>
  <c r="K443"/>
  <c r="K438"/>
  <c r="K433"/>
  <c r="K432"/>
  <c r="K431"/>
  <c r="K430"/>
  <c r="K429"/>
  <c r="K428"/>
  <c r="K426"/>
  <c r="K425"/>
  <c r="K424"/>
  <c r="K423"/>
  <c r="K422"/>
  <c r="K421"/>
  <c r="K420"/>
  <c r="K419"/>
  <c r="K418"/>
  <c r="K417"/>
  <c r="K416"/>
  <c r="K414"/>
  <c r="K413"/>
  <c r="K412"/>
  <c r="K411"/>
  <c r="K410"/>
  <c r="K409"/>
  <c r="K404"/>
  <c r="K403"/>
  <c r="K402"/>
  <c r="K401"/>
  <c r="J397"/>
  <c r="K396"/>
  <c r="K395"/>
  <c r="K394"/>
  <c r="K388"/>
  <c r="K383"/>
  <c r="K382"/>
  <c r="K381"/>
  <c r="K375"/>
  <c r="K369"/>
  <c r="K370" s="1"/>
  <c r="K364"/>
  <c r="K363"/>
  <c r="K362"/>
  <c r="K361"/>
  <c r="K360"/>
  <c r="K359"/>
  <c r="K358"/>
  <c r="K352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18"/>
  <c r="K313"/>
  <c r="K314" s="1"/>
  <c r="K306"/>
  <c r="K305"/>
  <c r="K304"/>
  <c r="K303"/>
  <c r="K300"/>
  <c r="K299"/>
  <c r="K298"/>
  <c r="K297"/>
  <c r="K296"/>
  <c r="K289"/>
  <c r="J233"/>
  <c r="J228"/>
  <c r="K228" s="1"/>
  <c r="J216"/>
  <c r="J215"/>
  <c r="J213"/>
  <c r="J273"/>
  <c r="D273"/>
  <c r="K270"/>
  <c r="K271"/>
  <c r="K272"/>
  <c r="C273"/>
  <c r="K257"/>
  <c r="L258"/>
  <c r="N258"/>
  <c r="O258"/>
  <c r="P258"/>
  <c r="Q258"/>
  <c r="R258"/>
  <c r="S258"/>
  <c r="T258"/>
  <c r="U258"/>
  <c r="V258"/>
  <c r="W258"/>
  <c r="D258"/>
  <c r="E258"/>
  <c r="F258"/>
  <c r="G258"/>
  <c r="H258"/>
  <c r="J258"/>
  <c r="C258"/>
  <c r="C277"/>
  <c r="D277"/>
  <c r="E277"/>
  <c r="F277"/>
  <c r="G277"/>
  <c r="H277"/>
  <c r="J277"/>
  <c r="K281"/>
  <c r="K276"/>
  <c r="K277" s="1"/>
  <c r="K269"/>
  <c r="K265"/>
  <c r="K264"/>
  <c r="K263"/>
  <c r="K261"/>
  <c r="K255"/>
  <c r="K251"/>
  <c r="K250"/>
  <c r="K249"/>
  <c r="K248"/>
  <c r="K247"/>
  <c r="K246"/>
  <c r="K245"/>
  <c r="K241"/>
  <c r="K240"/>
  <c r="K239"/>
  <c r="K238"/>
  <c r="K237"/>
  <c r="K236"/>
  <c r="K235"/>
  <c r="K234"/>
  <c r="K232"/>
  <c r="K231"/>
  <c r="K230"/>
  <c r="K229"/>
  <c r="K227"/>
  <c r="K226"/>
  <c r="K225"/>
  <c r="K224"/>
  <c r="K223"/>
  <c r="K222"/>
  <c r="K221"/>
  <c r="K220"/>
  <c r="K219"/>
  <c r="K218"/>
  <c r="K217"/>
  <c r="K214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52"/>
  <c r="K161"/>
  <c r="K128"/>
  <c r="K100"/>
  <c r="K91"/>
  <c r="K86"/>
  <c r="K85"/>
  <c r="K79"/>
  <c r="K74"/>
  <c r="K73"/>
  <c r="K72"/>
  <c r="K66"/>
  <c r="K60"/>
  <c r="K55"/>
  <c r="K50"/>
  <c r="K49"/>
  <c r="K48"/>
  <c r="K47"/>
  <c r="K46"/>
  <c r="K45"/>
  <c r="K40"/>
  <c r="K33"/>
  <c r="K19"/>
  <c r="K20"/>
  <c r="K21"/>
  <c r="K22"/>
  <c r="K23"/>
  <c r="K24"/>
  <c r="K25"/>
  <c r="K26"/>
  <c r="K27"/>
  <c r="K28"/>
  <c r="K29"/>
  <c r="K30"/>
  <c r="K31"/>
  <c r="K32"/>
  <c r="K34"/>
  <c r="K35"/>
  <c r="K18"/>
  <c r="K7"/>
  <c r="K6"/>
  <c r="K5"/>
  <c r="W73" i="6"/>
  <c r="W37"/>
  <c r="X33"/>
  <c r="W33"/>
  <c r="X45"/>
  <c r="X26"/>
  <c r="X15"/>
  <c r="X14"/>
  <c r="X13"/>
  <c r="W640" i="8"/>
  <c r="V640"/>
  <c r="U640"/>
  <c r="T640"/>
  <c r="S640"/>
  <c r="R640"/>
  <c r="Q640"/>
  <c r="P640"/>
  <c r="O640"/>
  <c r="N640"/>
  <c r="L640"/>
  <c r="J640"/>
  <c r="H640"/>
  <c r="F640"/>
  <c r="E640"/>
  <c r="D640"/>
  <c r="C640"/>
  <c r="I639"/>
  <c r="I640" s="1"/>
  <c r="G639"/>
  <c r="G640" s="1"/>
  <c r="W613"/>
  <c r="V613"/>
  <c r="U613"/>
  <c r="T613"/>
  <c r="S613"/>
  <c r="R613"/>
  <c r="Q613"/>
  <c r="P613"/>
  <c r="O613"/>
  <c r="N613"/>
  <c r="L613"/>
  <c r="J613"/>
  <c r="H613"/>
  <c r="G613"/>
  <c r="F613"/>
  <c r="E613"/>
  <c r="D613"/>
  <c r="C613"/>
  <c r="I612"/>
  <c r="I613" s="1"/>
  <c r="W370"/>
  <c r="V370"/>
  <c r="U370"/>
  <c r="T370"/>
  <c r="S370"/>
  <c r="R370"/>
  <c r="Q370"/>
  <c r="P370"/>
  <c r="O370"/>
  <c r="N370"/>
  <c r="L370"/>
  <c r="J370"/>
  <c r="H370"/>
  <c r="F370"/>
  <c r="E370"/>
  <c r="D370"/>
  <c r="C370"/>
  <c r="I369"/>
  <c r="I370" s="1"/>
  <c r="G369"/>
  <c r="G370" s="1"/>
  <c r="I602"/>
  <c r="I651"/>
  <c r="I669"/>
  <c r="I663"/>
  <c r="I664"/>
  <c r="I662"/>
  <c r="I656"/>
  <c r="I646"/>
  <c r="I636"/>
  <c r="I633"/>
  <c r="I627"/>
  <c r="I622"/>
  <c r="I617"/>
  <c r="H608"/>
  <c r="D608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3"/>
  <c r="I604"/>
  <c r="I605"/>
  <c r="I606"/>
  <c r="I607"/>
  <c r="I571"/>
  <c r="J567"/>
  <c r="L567"/>
  <c r="N567"/>
  <c r="O567"/>
  <c r="P567"/>
  <c r="Q567"/>
  <c r="R567"/>
  <c r="S567"/>
  <c r="T567"/>
  <c r="U567"/>
  <c r="V567"/>
  <c r="W567"/>
  <c r="E567"/>
  <c r="F567"/>
  <c r="G567"/>
  <c r="H567"/>
  <c r="I558"/>
  <c r="I559"/>
  <c r="Y559" s="1"/>
  <c r="AA559" s="1"/>
  <c r="I560"/>
  <c r="Y560" s="1"/>
  <c r="AA560" s="1"/>
  <c r="I561"/>
  <c r="I562"/>
  <c r="I563"/>
  <c r="Y563" s="1"/>
  <c r="AA563" s="1"/>
  <c r="I564"/>
  <c r="Y564" s="1"/>
  <c r="AA564" s="1"/>
  <c r="I565"/>
  <c r="I566"/>
  <c r="I557"/>
  <c r="I536"/>
  <c r="I537"/>
  <c r="I535"/>
  <c r="I525"/>
  <c r="I526"/>
  <c r="I527"/>
  <c r="I528"/>
  <c r="I523"/>
  <c r="J523" s="1"/>
  <c r="K523" s="1"/>
  <c r="I506"/>
  <c r="I507"/>
  <c r="I508"/>
  <c r="I509"/>
  <c r="I510"/>
  <c r="I511"/>
  <c r="I512"/>
  <c r="I513"/>
  <c r="I514"/>
  <c r="I515"/>
  <c r="I516"/>
  <c r="I517"/>
  <c r="I518"/>
  <c r="I505"/>
  <c r="I493"/>
  <c r="I494"/>
  <c r="I492"/>
  <c r="I473"/>
  <c r="I474"/>
  <c r="I475"/>
  <c r="I476"/>
  <c r="I477"/>
  <c r="I478"/>
  <c r="I479"/>
  <c r="I480"/>
  <c r="I481"/>
  <c r="I482"/>
  <c r="I483"/>
  <c r="I484"/>
  <c r="I485"/>
  <c r="I486"/>
  <c r="I487"/>
  <c r="I472"/>
  <c r="I458"/>
  <c r="I459"/>
  <c r="I460"/>
  <c r="I461"/>
  <c r="I462"/>
  <c r="I463"/>
  <c r="I464"/>
  <c r="I465"/>
  <c r="I466"/>
  <c r="I467"/>
  <c r="I457"/>
  <c r="I450"/>
  <c r="I451"/>
  <c r="I452"/>
  <c r="H453"/>
  <c r="I449"/>
  <c r="D453"/>
  <c r="I443"/>
  <c r="I438"/>
  <c r="H427"/>
  <c r="I427" s="1"/>
  <c r="I410"/>
  <c r="I411"/>
  <c r="I412"/>
  <c r="I413"/>
  <c r="I414"/>
  <c r="I416"/>
  <c r="I417"/>
  <c r="I418"/>
  <c r="I419"/>
  <c r="I420"/>
  <c r="I421"/>
  <c r="I422"/>
  <c r="I423"/>
  <c r="I424"/>
  <c r="I425"/>
  <c r="I426"/>
  <c r="I428"/>
  <c r="I429"/>
  <c r="I430"/>
  <c r="I431"/>
  <c r="I432"/>
  <c r="I433"/>
  <c r="I409"/>
  <c r="I402"/>
  <c r="I403"/>
  <c r="I404"/>
  <c r="I401"/>
  <c r="G397"/>
  <c r="H397"/>
  <c r="I395"/>
  <c r="I396"/>
  <c r="I394"/>
  <c r="I388"/>
  <c r="I382"/>
  <c r="I383"/>
  <c r="I381"/>
  <c r="I375"/>
  <c r="I359"/>
  <c r="I360"/>
  <c r="I361"/>
  <c r="I362"/>
  <c r="I363"/>
  <c r="I364"/>
  <c r="I358"/>
  <c r="I352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23"/>
  <c r="I318"/>
  <c r="I304"/>
  <c r="I305"/>
  <c r="I306"/>
  <c r="I303"/>
  <c r="I313"/>
  <c r="I314" s="1"/>
  <c r="I297"/>
  <c r="I298"/>
  <c r="I299"/>
  <c r="I300"/>
  <c r="I296"/>
  <c r="I289"/>
  <c r="D37" i="9"/>
  <c r="D41" s="1"/>
  <c r="I214" i="8"/>
  <c r="I217"/>
  <c r="I218"/>
  <c r="I219"/>
  <c r="I220"/>
  <c r="I221"/>
  <c r="I222"/>
  <c r="I223"/>
  <c r="I224"/>
  <c r="I225"/>
  <c r="I226"/>
  <c r="I227"/>
  <c r="I229"/>
  <c r="I230"/>
  <c r="I231"/>
  <c r="I232"/>
  <c r="I234"/>
  <c r="I235"/>
  <c r="I236"/>
  <c r="I237"/>
  <c r="I238"/>
  <c r="I239"/>
  <c r="I240"/>
  <c r="I241"/>
  <c r="H233"/>
  <c r="I233" s="1"/>
  <c r="I281"/>
  <c r="H216"/>
  <c r="I216" s="1"/>
  <c r="H215"/>
  <c r="I215" s="1"/>
  <c r="H213"/>
  <c r="Y566" l="1"/>
  <c r="AA566" s="1"/>
  <c r="Y558"/>
  <c r="AA558" s="1"/>
  <c r="M213"/>
  <c r="Y562"/>
  <c r="AA562" s="1"/>
  <c r="Y565"/>
  <c r="AA565" s="1"/>
  <c r="M427"/>
  <c r="M87"/>
  <c r="Y561"/>
  <c r="AA561" s="1"/>
  <c r="M75"/>
  <c r="Y557"/>
  <c r="AA557" s="1"/>
  <c r="M405"/>
  <c r="AA553"/>
  <c r="I405"/>
  <c r="K75"/>
  <c r="K87"/>
  <c r="K405"/>
  <c r="K520"/>
  <c r="K213"/>
  <c r="AA499"/>
  <c r="Y500"/>
  <c r="Y272"/>
  <c r="AA272" s="1"/>
  <c r="M567"/>
  <c r="I397"/>
  <c r="K397"/>
  <c r="M520"/>
  <c r="M228"/>
  <c r="Y602"/>
  <c r="AA602" s="1"/>
  <c r="K258"/>
  <c r="K427"/>
  <c r="Y256"/>
  <c r="AA256" s="1"/>
  <c r="M523"/>
  <c r="M233"/>
  <c r="O233"/>
  <c r="M216"/>
  <c r="M215"/>
  <c r="Y270"/>
  <c r="AA270" s="1"/>
  <c r="AA519"/>
  <c r="Y345"/>
  <c r="AA345" s="1"/>
  <c r="M258"/>
  <c r="AA262"/>
  <c r="Z262"/>
  <c r="K567"/>
  <c r="Y452"/>
  <c r="AA452" s="1"/>
  <c r="Y257"/>
  <c r="K215"/>
  <c r="K216"/>
  <c r="I213"/>
  <c r="Y220"/>
  <c r="C13" i="9" s="1"/>
  <c r="E13" s="1"/>
  <c r="K233" i="8"/>
  <c r="Y639"/>
  <c r="AA639" s="1"/>
  <c r="Y612"/>
  <c r="Y613" s="1"/>
  <c r="I567"/>
  <c r="Y369"/>
  <c r="Y370" s="1"/>
  <c r="I255"/>
  <c r="I258" s="1"/>
  <c r="I246"/>
  <c r="I247"/>
  <c r="I248"/>
  <c r="I249"/>
  <c r="I250"/>
  <c r="I251"/>
  <c r="I245"/>
  <c r="I263"/>
  <c r="I264"/>
  <c r="I265"/>
  <c r="I261"/>
  <c r="I276"/>
  <c r="I277" s="1"/>
  <c r="I269"/>
  <c r="I271"/>
  <c r="Y271" s="1"/>
  <c r="AA271" s="1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187"/>
  <c r="I161"/>
  <c r="I152"/>
  <c r="I128"/>
  <c r="I100"/>
  <c r="I91"/>
  <c r="I86"/>
  <c r="I85"/>
  <c r="I79"/>
  <c r="I19"/>
  <c r="I20"/>
  <c r="I21"/>
  <c r="I22"/>
  <c r="I23"/>
  <c r="I24"/>
  <c r="I25"/>
  <c r="I26"/>
  <c r="I27"/>
  <c r="I28"/>
  <c r="I29"/>
  <c r="I30"/>
  <c r="I31"/>
  <c r="I32"/>
  <c r="I33"/>
  <c r="I34"/>
  <c r="I72"/>
  <c r="I74"/>
  <c r="I73"/>
  <c r="I66"/>
  <c r="I60"/>
  <c r="I55"/>
  <c r="I46"/>
  <c r="I47"/>
  <c r="I48"/>
  <c r="I49"/>
  <c r="I50"/>
  <c r="I45"/>
  <c r="I40"/>
  <c r="I35"/>
  <c r="I18"/>
  <c r="I6"/>
  <c r="I7"/>
  <c r="I5"/>
  <c r="G5"/>
  <c r="AF60" i="6"/>
  <c r="D628" i="8"/>
  <c r="C628"/>
  <c r="D618"/>
  <c r="C618"/>
  <c r="D623"/>
  <c r="C623"/>
  <c r="W623"/>
  <c r="V623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Y622"/>
  <c r="Y623" s="1"/>
  <c r="D444"/>
  <c r="C444"/>
  <c r="D439"/>
  <c r="C439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Y438"/>
  <c r="Y439" s="1"/>
  <c r="D389"/>
  <c r="C389"/>
  <c r="D376"/>
  <c r="C376"/>
  <c r="D353"/>
  <c r="C353"/>
  <c r="D319"/>
  <c r="C319"/>
  <c r="D282"/>
  <c r="C282"/>
  <c r="D153"/>
  <c r="D155" s="1"/>
  <c r="C153"/>
  <c r="D92"/>
  <c r="C92"/>
  <c r="D80"/>
  <c r="C80"/>
  <c r="D67"/>
  <c r="C67"/>
  <c r="D61"/>
  <c r="C61"/>
  <c r="E389"/>
  <c r="E376"/>
  <c r="F228"/>
  <c r="I228" s="1"/>
  <c r="I87" l="1"/>
  <c r="I75"/>
  <c r="D630"/>
  <c r="AA500"/>
  <c r="Z256"/>
  <c r="Y567"/>
  <c r="AA257"/>
  <c r="D14"/>
  <c r="C14"/>
  <c r="Y640"/>
  <c r="AA640" s="1"/>
  <c r="F242"/>
  <c r="G219"/>
  <c r="Y219" s="1"/>
  <c r="C12" i="9" s="1"/>
  <c r="E12" s="1"/>
  <c r="G214" i="8"/>
  <c r="G215"/>
  <c r="G216"/>
  <c r="G217"/>
  <c r="G223"/>
  <c r="G224"/>
  <c r="G225"/>
  <c r="G226"/>
  <c r="G228"/>
  <c r="G229"/>
  <c r="G231"/>
  <c r="G232"/>
  <c r="G233"/>
  <c r="G235"/>
  <c r="G241"/>
  <c r="G213"/>
  <c r="G246"/>
  <c r="G247"/>
  <c r="G248"/>
  <c r="G249"/>
  <c r="G250"/>
  <c r="G251"/>
  <c r="G245"/>
  <c r="G512"/>
  <c r="G506"/>
  <c r="G507"/>
  <c r="G508"/>
  <c r="G509"/>
  <c r="G510"/>
  <c r="G511"/>
  <c r="G513"/>
  <c r="G514"/>
  <c r="G515"/>
  <c r="G516"/>
  <c r="G517"/>
  <c r="G518"/>
  <c r="G525"/>
  <c r="G526"/>
  <c r="G636"/>
  <c r="G651"/>
  <c r="G646"/>
  <c r="G633"/>
  <c r="G627"/>
  <c r="Y627" s="1"/>
  <c r="Y628" s="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8"/>
  <c r="G599"/>
  <c r="G603"/>
  <c r="G605"/>
  <c r="G606"/>
  <c r="G607"/>
  <c r="G571"/>
  <c r="G536"/>
  <c r="G537"/>
  <c r="G535"/>
  <c r="G492"/>
  <c r="G473"/>
  <c r="G474"/>
  <c r="G475"/>
  <c r="G479"/>
  <c r="G481"/>
  <c r="G485"/>
  <c r="G486"/>
  <c r="G487"/>
  <c r="G472"/>
  <c r="G458"/>
  <c r="G459"/>
  <c r="G460"/>
  <c r="G464"/>
  <c r="G465"/>
  <c r="G466"/>
  <c r="G467"/>
  <c r="G457"/>
  <c r="G450"/>
  <c r="G451"/>
  <c r="G419"/>
  <c r="F397"/>
  <c r="G389"/>
  <c r="G353"/>
  <c r="G319"/>
  <c r="G449"/>
  <c r="G410"/>
  <c r="G411"/>
  <c r="G412"/>
  <c r="G413"/>
  <c r="G416"/>
  <c r="G417"/>
  <c r="G418"/>
  <c r="G420"/>
  <c r="G421"/>
  <c r="G422"/>
  <c r="G423"/>
  <c r="G424"/>
  <c r="G425"/>
  <c r="G426"/>
  <c r="G427"/>
  <c r="G429"/>
  <c r="G430"/>
  <c r="G432"/>
  <c r="G433"/>
  <c r="G409"/>
  <c r="Y409" s="1"/>
  <c r="G403"/>
  <c r="G405" s="1"/>
  <c r="G383"/>
  <c r="G381"/>
  <c r="G375"/>
  <c r="Y375" s="1"/>
  <c r="Y376" s="1"/>
  <c r="AC376" s="1"/>
  <c r="G359"/>
  <c r="G360"/>
  <c r="G361"/>
  <c r="G363"/>
  <c r="G364"/>
  <c r="G358"/>
  <c r="G324"/>
  <c r="G325"/>
  <c r="G326"/>
  <c r="G327"/>
  <c r="G328"/>
  <c r="G331"/>
  <c r="G332"/>
  <c r="G333"/>
  <c r="G334"/>
  <c r="G335"/>
  <c r="G336"/>
  <c r="G337"/>
  <c r="G338"/>
  <c r="G342"/>
  <c r="G343"/>
  <c r="G346"/>
  <c r="G347"/>
  <c r="G323"/>
  <c r="G191"/>
  <c r="Y191" s="1"/>
  <c r="AA191" s="1"/>
  <c r="G188"/>
  <c r="G189"/>
  <c r="G190"/>
  <c r="G192"/>
  <c r="G194"/>
  <c r="G196"/>
  <c r="G199"/>
  <c r="G201"/>
  <c r="G205"/>
  <c r="G207"/>
  <c r="G187"/>
  <c r="G161"/>
  <c r="G152"/>
  <c r="G128"/>
  <c r="G100"/>
  <c r="Y100" s="1"/>
  <c r="G91"/>
  <c r="G86"/>
  <c r="G87" s="1"/>
  <c r="G74"/>
  <c r="G75" s="1"/>
  <c r="G66"/>
  <c r="G60"/>
  <c r="G20"/>
  <c r="G21"/>
  <c r="G22"/>
  <c r="G25"/>
  <c r="G26"/>
  <c r="G27"/>
  <c r="G30"/>
  <c r="G35"/>
  <c r="G18"/>
  <c r="G7"/>
  <c r="Y5"/>
  <c r="G6"/>
  <c r="W628"/>
  <c r="V628"/>
  <c r="U628"/>
  <c r="T628"/>
  <c r="S628"/>
  <c r="R628"/>
  <c r="Q628"/>
  <c r="P628"/>
  <c r="O628"/>
  <c r="N628"/>
  <c r="M628"/>
  <c r="L628"/>
  <c r="K628"/>
  <c r="J628"/>
  <c r="I628"/>
  <c r="H628"/>
  <c r="F628"/>
  <c r="E628"/>
  <c r="W618"/>
  <c r="V618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Y617"/>
  <c r="Y618" s="1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Y443"/>
  <c r="Y444" s="1"/>
  <c r="W389"/>
  <c r="V389"/>
  <c r="U389"/>
  <c r="T389"/>
  <c r="S389"/>
  <c r="R389"/>
  <c r="Q389"/>
  <c r="P389"/>
  <c r="O389"/>
  <c r="N389"/>
  <c r="M389"/>
  <c r="L389"/>
  <c r="K389"/>
  <c r="J389"/>
  <c r="I389"/>
  <c r="H389"/>
  <c r="F389"/>
  <c r="Y388"/>
  <c r="Y389" s="1"/>
  <c r="W376"/>
  <c r="V376"/>
  <c r="U376"/>
  <c r="T376"/>
  <c r="S376"/>
  <c r="R376"/>
  <c r="Q376"/>
  <c r="P376"/>
  <c r="O376"/>
  <c r="N376"/>
  <c r="M376"/>
  <c r="L376"/>
  <c r="K376"/>
  <c r="J376"/>
  <c r="I376"/>
  <c r="H376"/>
  <c r="F376"/>
  <c r="W353"/>
  <c r="V353"/>
  <c r="U353"/>
  <c r="T353"/>
  <c r="S353"/>
  <c r="R353"/>
  <c r="Q353"/>
  <c r="P353"/>
  <c r="O353"/>
  <c r="N353"/>
  <c r="M353"/>
  <c r="L353"/>
  <c r="K353"/>
  <c r="J353"/>
  <c r="I353"/>
  <c r="H353"/>
  <c r="F353"/>
  <c r="E353"/>
  <c r="Y352"/>
  <c r="Y353" s="1"/>
  <c r="W319"/>
  <c r="V319"/>
  <c r="U319"/>
  <c r="T319"/>
  <c r="S319"/>
  <c r="R319"/>
  <c r="Q319"/>
  <c r="P319"/>
  <c r="O319"/>
  <c r="N319"/>
  <c r="M319"/>
  <c r="L319"/>
  <c r="K319"/>
  <c r="J319"/>
  <c r="I319"/>
  <c r="H319"/>
  <c r="F319"/>
  <c r="E319"/>
  <c r="Y318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Y281"/>
  <c r="Y282" s="1"/>
  <c r="Y319" l="1"/>
  <c r="AC319" s="1"/>
  <c r="D13"/>
  <c r="G384"/>
  <c r="G348"/>
  <c r="G355" s="1"/>
  <c r="G434"/>
  <c r="G365"/>
  <c r="G36"/>
  <c r="G208"/>
  <c r="G376"/>
  <c r="G628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Y91"/>
  <c r="Y92" s="1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Y152"/>
  <c r="Y153" s="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Y79"/>
  <c r="Y80" s="1"/>
  <c r="W67"/>
  <c r="V67"/>
  <c r="U67"/>
  <c r="T67"/>
  <c r="S67"/>
  <c r="R67"/>
  <c r="Q67"/>
  <c r="P67"/>
  <c r="O67"/>
  <c r="L67"/>
  <c r="K67"/>
  <c r="J67"/>
  <c r="I67"/>
  <c r="H67"/>
  <c r="G67"/>
  <c r="F67"/>
  <c r="E67"/>
  <c r="Y66"/>
  <c r="Y67" s="1"/>
  <c r="AC67" s="1"/>
  <c r="Y60"/>
  <c r="Y61" s="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242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Y656"/>
  <c r="Y657" s="1"/>
  <c r="F665"/>
  <c r="G665"/>
  <c r="H665"/>
  <c r="I665"/>
  <c r="J665"/>
  <c r="K665"/>
  <c r="L665"/>
  <c r="M665"/>
  <c r="N665"/>
  <c r="O665"/>
  <c r="P665"/>
  <c r="Q665"/>
  <c r="R665"/>
  <c r="S665"/>
  <c r="T665"/>
  <c r="U665"/>
  <c r="V665"/>
  <c r="W665"/>
  <c r="Y663"/>
  <c r="AA663" s="1"/>
  <c r="Y662"/>
  <c r="AA662" s="1"/>
  <c r="Y664"/>
  <c r="AA664" s="1"/>
  <c r="Y669"/>
  <c r="AA669" s="1"/>
  <c r="F670"/>
  <c r="G670"/>
  <c r="H670"/>
  <c r="I670"/>
  <c r="J670"/>
  <c r="K670"/>
  <c r="L670"/>
  <c r="M670"/>
  <c r="N670"/>
  <c r="O670"/>
  <c r="P670"/>
  <c r="Q670"/>
  <c r="R670"/>
  <c r="S670"/>
  <c r="T670"/>
  <c r="U670"/>
  <c r="V670"/>
  <c r="W670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Y646"/>
  <c r="Y647" s="1"/>
  <c r="Y651"/>
  <c r="AA651" s="1"/>
  <c r="F652"/>
  <c r="G652"/>
  <c r="H652"/>
  <c r="I652"/>
  <c r="J652"/>
  <c r="K652"/>
  <c r="L652"/>
  <c r="M652"/>
  <c r="N652"/>
  <c r="O652"/>
  <c r="P652"/>
  <c r="Q652"/>
  <c r="R652"/>
  <c r="S652"/>
  <c r="T652"/>
  <c r="U652"/>
  <c r="V652"/>
  <c r="W652"/>
  <c r="Y606"/>
  <c r="Y605"/>
  <c r="Y604"/>
  <c r="Y603"/>
  <c r="Y601"/>
  <c r="Y600"/>
  <c r="Y599"/>
  <c r="Y598"/>
  <c r="AA598" s="1"/>
  <c r="Y597"/>
  <c r="Y596"/>
  <c r="Y595"/>
  <c r="Y594"/>
  <c r="AA594" s="1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F634"/>
  <c r="G634"/>
  <c r="H634"/>
  <c r="I634"/>
  <c r="J634"/>
  <c r="K634"/>
  <c r="L634"/>
  <c r="M634"/>
  <c r="N634"/>
  <c r="O634"/>
  <c r="P634"/>
  <c r="Q634"/>
  <c r="R634"/>
  <c r="S634"/>
  <c r="T634"/>
  <c r="U634"/>
  <c r="V634"/>
  <c r="W634"/>
  <c r="F608"/>
  <c r="G608"/>
  <c r="I608"/>
  <c r="J608"/>
  <c r="K608"/>
  <c r="L608"/>
  <c r="M608"/>
  <c r="N608"/>
  <c r="O608"/>
  <c r="P608"/>
  <c r="Q608"/>
  <c r="R608"/>
  <c r="S608"/>
  <c r="T608"/>
  <c r="U608"/>
  <c r="V608"/>
  <c r="W608"/>
  <c r="Y636"/>
  <c r="AA636" s="1"/>
  <c r="Y633"/>
  <c r="AA633" s="1"/>
  <c r="Y607"/>
  <c r="F538"/>
  <c r="G538"/>
  <c r="H538"/>
  <c r="I538"/>
  <c r="J538"/>
  <c r="K538"/>
  <c r="L538"/>
  <c r="M538"/>
  <c r="N538"/>
  <c r="O538"/>
  <c r="P538"/>
  <c r="Q538"/>
  <c r="R538"/>
  <c r="S538"/>
  <c r="T538"/>
  <c r="U538"/>
  <c r="V538"/>
  <c r="W538"/>
  <c r="Y537"/>
  <c r="Y536"/>
  <c r="Y535"/>
  <c r="Y528"/>
  <c r="Y527"/>
  <c r="Y526"/>
  <c r="Y525"/>
  <c r="Y523"/>
  <c r="F529"/>
  <c r="G529"/>
  <c r="H529"/>
  <c r="I529"/>
  <c r="J529"/>
  <c r="K529"/>
  <c r="L529"/>
  <c r="M529"/>
  <c r="N529"/>
  <c r="O529"/>
  <c r="Q529"/>
  <c r="R529"/>
  <c r="S529"/>
  <c r="T529"/>
  <c r="U529"/>
  <c r="V529"/>
  <c r="W529"/>
  <c r="Y518"/>
  <c r="AA518" s="1"/>
  <c r="Y517"/>
  <c r="Y516"/>
  <c r="Y515"/>
  <c r="AA515" s="1"/>
  <c r="Y514"/>
  <c r="Y513"/>
  <c r="Y512"/>
  <c r="Y511"/>
  <c r="Y510"/>
  <c r="Y509"/>
  <c r="Y508"/>
  <c r="Y507"/>
  <c r="AA507" s="1"/>
  <c r="Y506"/>
  <c r="Y505"/>
  <c r="E520"/>
  <c r="F520"/>
  <c r="G520"/>
  <c r="H520"/>
  <c r="I520"/>
  <c r="O520"/>
  <c r="Q520"/>
  <c r="S520"/>
  <c r="T520"/>
  <c r="U520"/>
  <c r="V520"/>
  <c r="W520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Y494"/>
  <c r="Y493"/>
  <c r="Y492"/>
  <c r="Z492" s="1"/>
  <c r="E273"/>
  <c r="F273"/>
  <c r="G273"/>
  <c r="H273"/>
  <c r="I273"/>
  <c r="K273"/>
  <c r="M273"/>
  <c r="O273"/>
  <c r="Q273"/>
  <c r="S273"/>
  <c r="T273"/>
  <c r="U273"/>
  <c r="V273"/>
  <c r="W273"/>
  <c r="Y486"/>
  <c r="AA486" s="1"/>
  <c r="Y485"/>
  <c r="Y484"/>
  <c r="Y483"/>
  <c r="Y482"/>
  <c r="Y481"/>
  <c r="Y480"/>
  <c r="Y479"/>
  <c r="Y478"/>
  <c r="Y477"/>
  <c r="Y476"/>
  <c r="AA476" s="1"/>
  <c r="Y475"/>
  <c r="AA475" s="1"/>
  <c r="Y474"/>
  <c r="Y473"/>
  <c r="Y472"/>
  <c r="F488"/>
  <c r="G488"/>
  <c r="H488"/>
  <c r="I488"/>
  <c r="J488"/>
  <c r="K488"/>
  <c r="L488"/>
  <c r="M488"/>
  <c r="N488"/>
  <c r="O488"/>
  <c r="P488"/>
  <c r="Q488"/>
  <c r="R488"/>
  <c r="S488"/>
  <c r="T488"/>
  <c r="U488"/>
  <c r="V488"/>
  <c r="W488"/>
  <c r="Y487"/>
  <c r="AA487" s="1"/>
  <c r="C488"/>
  <c r="Y464"/>
  <c r="Y463"/>
  <c r="Y462"/>
  <c r="Y461"/>
  <c r="Y460"/>
  <c r="AA460" s="1"/>
  <c r="Y459"/>
  <c r="Y458"/>
  <c r="Y457"/>
  <c r="F468"/>
  <c r="G468"/>
  <c r="H468"/>
  <c r="I468"/>
  <c r="J468"/>
  <c r="K468"/>
  <c r="L468"/>
  <c r="M468"/>
  <c r="N468"/>
  <c r="O468"/>
  <c r="P468"/>
  <c r="Q468"/>
  <c r="R468"/>
  <c r="S468"/>
  <c r="T468"/>
  <c r="U468"/>
  <c r="V468"/>
  <c r="W468"/>
  <c r="Y467"/>
  <c r="AA467" s="1"/>
  <c r="Y466"/>
  <c r="Y465"/>
  <c r="F453"/>
  <c r="G453"/>
  <c r="I453"/>
  <c r="K453"/>
  <c r="M453"/>
  <c r="O453"/>
  <c r="Q453"/>
  <c r="S453"/>
  <c r="T453"/>
  <c r="U453"/>
  <c r="V453"/>
  <c r="W453"/>
  <c r="Y451"/>
  <c r="AA451" s="1"/>
  <c r="Y450"/>
  <c r="AA450" s="1"/>
  <c r="Y449"/>
  <c r="E453"/>
  <c r="C453"/>
  <c r="Y419"/>
  <c r="AA419" s="1"/>
  <c r="Y418"/>
  <c r="AA418" s="1"/>
  <c r="Y417"/>
  <c r="Z417" s="1"/>
  <c r="Y416"/>
  <c r="Z416" s="1"/>
  <c r="Y414"/>
  <c r="AA414" s="1"/>
  <c r="Y413"/>
  <c r="AA413" s="1"/>
  <c r="Y412"/>
  <c r="Z412" s="1"/>
  <c r="Y411"/>
  <c r="Z411" s="1"/>
  <c r="Y410"/>
  <c r="Z410" s="1"/>
  <c r="AA409"/>
  <c r="Y432"/>
  <c r="AA432" s="1"/>
  <c r="Y431"/>
  <c r="AA431" s="1"/>
  <c r="Y430"/>
  <c r="AA430" s="1"/>
  <c r="Y429"/>
  <c r="AA429" s="1"/>
  <c r="Y428"/>
  <c r="AA428" s="1"/>
  <c r="Y427"/>
  <c r="AA427" s="1"/>
  <c r="Y426"/>
  <c r="AA426" s="1"/>
  <c r="Y425"/>
  <c r="AA425" s="1"/>
  <c r="Y424"/>
  <c r="AA424" s="1"/>
  <c r="Y423"/>
  <c r="AA423" s="1"/>
  <c r="Y422"/>
  <c r="AA422" s="1"/>
  <c r="Y421"/>
  <c r="AA421" s="1"/>
  <c r="Y420"/>
  <c r="AA420" s="1"/>
  <c r="F434"/>
  <c r="H434"/>
  <c r="I434"/>
  <c r="J434"/>
  <c r="K434"/>
  <c r="L434"/>
  <c r="M434"/>
  <c r="N434"/>
  <c r="O434"/>
  <c r="P434"/>
  <c r="Q434"/>
  <c r="R434"/>
  <c r="S434"/>
  <c r="T434"/>
  <c r="U434"/>
  <c r="V434"/>
  <c r="W434"/>
  <c r="Y433"/>
  <c r="AA433" s="1"/>
  <c r="Y401"/>
  <c r="AA401" s="1"/>
  <c r="Y404"/>
  <c r="AA404" s="1"/>
  <c r="Y403"/>
  <c r="Z403" s="1"/>
  <c r="Y402"/>
  <c r="AA402" s="1"/>
  <c r="Y396"/>
  <c r="AA396" s="1"/>
  <c r="Y395"/>
  <c r="AA395" s="1"/>
  <c r="Y394"/>
  <c r="F384"/>
  <c r="H384"/>
  <c r="I384"/>
  <c r="J384"/>
  <c r="K384"/>
  <c r="L384"/>
  <c r="M384"/>
  <c r="N384"/>
  <c r="O384"/>
  <c r="P384"/>
  <c r="Q384"/>
  <c r="R384"/>
  <c r="S384"/>
  <c r="T384"/>
  <c r="U384"/>
  <c r="V384"/>
  <c r="W384"/>
  <c r="Y383"/>
  <c r="AA383" s="1"/>
  <c r="Y382"/>
  <c r="Z382" s="1"/>
  <c r="Y381"/>
  <c r="Y363"/>
  <c r="Z363" s="1"/>
  <c r="Y362"/>
  <c r="AA362" s="1"/>
  <c r="Y361"/>
  <c r="Z361" s="1"/>
  <c r="Y360"/>
  <c r="Z360" s="1"/>
  <c r="Y359"/>
  <c r="Z359" s="1"/>
  <c r="Y358"/>
  <c r="AA358" s="1"/>
  <c r="F365"/>
  <c r="H365"/>
  <c r="I365"/>
  <c r="J365"/>
  <c r="K365"/>
  <c r="L365"/>
  <c r="M365"/>
  <c r="N365"/>
  <c r="O365"/>
  <c r="P365"/>
  <c r="Q365"/>
  <c r="R365"/>
  <c r="S365"/>
  <c r="T365"/>
  <c r="U365"/>
  <c r="V365"/>
  <c r="W365"/>
  <c r="Y364"/>
  <c r="AA364" s="1"/>
  <c r="F348"/>
  <c r="F355" s="1"/>
  <c r="H348"/>
  <c r="H355" s="1"/>
  <c r="I348"/>
  <c r="I355" s="1"/>
  <c r="J348"/>
  <c r="J355" s="1"/>
  <c r="K348"/>
  <c r="K355" s="1"/>
  <c r="L348"/>
  <c r="M348"/>
  <c r="N348"/>
  <c r="O348"/>
  <c r="P348"/>
  <c r="Q348"/>
  <c r="R348"/>
  <c r="S348"/>
  <c r="T348"/>
  <c r="U348"/>
  <c r="V348"/>
  <c r="W348"/>
  <c r="Y346"/>
  <c r="AA346" s="1"/>
  <c r="Y344"/>
  <c r="AA344" s="1"/>
  <c r="Y343"/>
  <c r="Z343" s="1"/>
  <c r="Y342"/>
  <c r="Z342" s="1"/>
  <c r="Y341"/>
  <c r="AA341" s="1"/>
  <c r="Y340"/>
  <c r="AA340" s="1"/>
  <c r="Y339"/>
  <c r="Z339" s="1"/>
  <c r="Y338"/>
  <c r="Z338" s="1"/>
  <c r="Y337"/>
  <c r="AA337" s="1"/>
  <c r="Y336"/>
  <c r="AA336" s="1"/>
  <c r="Y335"/>
  <c r="AA335" s="1"/>
  <c r="Y334"/>
  <c r="Z334" s="1"/>
  <c r="Y333"/>
  <c r="AA333" s="1"/>
  <c r="Y332"/>
  <c r="AA332" s="1"/>
  <c r="Y331"/>
  <c r="AA331" s="1"/>
  <c r="Y330"/>
  <c r="AA330" s="1"/>
  <c r="Y329"/>
  <c r="AA329" s="1"/>
  <c r="Y328"/>
  <c r="AA328" s="1"/>
  <c r="Y327"/>
  <c r="Z327" s="1"/>
  <c r="Y326"/>
  <c r="AA326" s="1"/>
  <c r="Y325"/>
  <c r="AA325" s="1"/>
  <c r="Y324"/>
  <c r="Z324" s="1"/>
  <c r="Y323"/>
  <c r="Z323" s="1"/>
  <c r="Y347"/>
  <c r="AA347" s="1"/>
  <c r="E307"/>
  <c r="D307"/>
  <c r="C307"/>
  <c r="Y313"/>
  <c r="AA313" s="1"/>
  <c r="F307"/>
  <c r="G307"/>
  <c r="H307"/>
  <c r="I307"/>
  <c r="J307"/>
  <c r="K307"/>
  <c r="L307"/>
  <c r="M307"/>
  <c r="N307"/>
  <c r="O307"/>
  <c r="P307"/>
  <c r="Q307"/>
  <c r="R307"/>
  <c r="S307"/>
  <c r="T307"/>
  <c r="U307"/>
  <c r="V307"/>
  <c r="W307"/>
  <c r="Y306"/>
  <c r="Z306" s="1"/>
  <c r="Y305"/>
  <c r="AA305" s="1"/>
  <c r="Y304"/>
  <c r="Z304" s="1"/>
  <c r="Y300"/>
  <c r="Z300" s="1"/>
  <c r="Y299"/>
  <c r="AA299" s="1"/>
  <c r="Y298"/>
  <c r="Z298" s="1"/>
  <c r="Y297"/>
  <c r="Z297" s="1"/>
  <c r="Y296"/>
  <c r="Y289"/>
  <c r="AA289" s="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L277"/>
  <c r="M277"/>
  <c r="N277"/>
  <c r="O277"/>
  <c r="P277"/>
  <c r="Q277"/>
  <c r="R277"/>
  <c r="S277"/>
  <c r="T277"/>
  <c r="U277"/>
  <c r="V277"/>
  <c r="W277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Y276"/>
  <c r="Y269"/>
  <c r="Y273" s="1"/>
  <c r="Y264"/>
  <c r="AA264" s="1"/>
  <c r="Y263"/>
  <c r="Y261"/>
  <c r="Z261" s="1"/>
  <c r="Y255"/>
  <c r="Y251"/>
  <c r="AA251" s="1"/>
  <c r="Y250"/>
  <c r="Y249"/>
  <c r="Z249" s="1"/>
  <c r="Y248"/>
  <c r="Y247"/>
  <c r="Y246"/>
  <c r="Z246" s="1"/>
  <c r="Y245"/>
  <c r="AA245" s="1"/>
  <c r="Y241"/>
  <c r="Y240"/>
  <c r="Y239"/>
  <c r="C33" i="9" s="1"/>
  <c r="E33" s="1"/>
  <c r="Y238" i="8"/>
  <c r="C32" i="9" s="1"/>
  <c r="E32" s="1"/>
  <c r="Y237" i="8"/>
  <c r="Y236"/>
  <c r="C30" i="9" s="1"/>
  <c r="Y235" i="8"/>
  <c r="Y234"/>
  <c r="Y233"/>
  <c r="Y232"/>
  <c r="Y231"/>
  <c r="Y229"/>
  <c r="Y228"/>
  <c r="Y227"/>
  <c r="Y226"/>
  <c r="Y225"/>
  <c r="Y224"/>
  <c r="Y223"/>
  <c r="Y222"/>
  <c r="Y221"/>
  <c r="AA220"/>
  <c r="Y218"/>
  <c r="Y217"/>
  <c r="Y216"/>
  <c r="Y215"/>
  <c r="Y214"/>
  <c r="C7" i="9" s="1"/>
  <c r="E7" s="1"/>
  <c r="Y213" i="8"/>
  <c r="Y207"/>
  <c r="AA207" s="1"/>
  <c r="Y206"/>
  <c r="AA206" s="1"/>
  <c r="Y205"/>
  <c r="Z205" s="1"/>
  <c r="Y204"/>
  <c r="AA204" s="1"/>
  <c r="Y203"/>
  <c r="AA203" s="1"/>
  <c r="Y202"/>
  <c r="Z202" s="1"/>
  <c r="Y201"/>
  <c r="Z201" s="1"/>
  <c r="Y200"/>
  <c r="Z200" s="1"/>
  <c r="Y199"/>
  <c r="AA199" s="1"/>
  <c r="Y198"/>
  <c r="Z198" s="1"/>
  <c r="Y197"/>
  <c r="Z197" s="1"/>
  <c r="Y196"/>
  <c r="Z196" s="1"/>
  <c r="Y195"/>
  <c r="AA195" s="1"/>
  <c r="Y194"/>
  <c r="Z194" s="1"/>
  <c r="Y193"/>
  <c r="AA193" s="1"/>
  <c r="Z192"/>
  <c r="Y190"/>
  <c r="AA190" s="1"/>
  <c r="Y189"/>
  <c r="AA189" s="1"/>
  <c r="Y188"/>
  <c r="AA188" s="1"/>
  <c r="Y187"/>
  <c r="F208"/>
  <c r="H208"/>
  <c r="I208"/>
  <c r="J208"/>
  <c r="K208"/>
  <c r="L208"/>
  <c r="M208"/>
  <c r="N208"/>
  <c r="O208"/>
  <c r="P208"/>
  <c r="Q208"/>
  <c r="S208"/>
  <c r="T208"/>
  <c r="U208"/>
  <c r="V208"/>
  <c r="W208"/>
  <c r="Y161"/>
  <c r="Y128"/>
  <c r="Y86"/>
  <c r="AA86" s="1"/>
  <c r="Y85"/>
  <c r="Y74"/>
  <c r="AA74" s="1"/>
  <c r="Y73"/>
  <c r="AA73" s="1"/>
  <c r="Y72"/>
  <c r="Y55"/>
  <c r="AA55" s="1"/>
  <c r="Z296" l="1"/>
  <c r="Y301"/>
  <c r="Y14"/>
  <c r="Y397"/>
  <c r="F278"/>
  <c r="AA187"/>
  <c r="Y208"/>
  <c r="W278"/>
  <c r="U278"/>
  <c r="O278"/>
  <c r="M278"/>
  <c r="K278"/>
  <c r="I278"/>
  <c r="G278"/>
  <c r="V278"/>
  <c r="T278"/>
  <c r="N278"/>
  <c r="L278"/>
  <c r="J278"/>
  <c r="H278"/>
  <c r="R278"/>
  <c r="S278"/>
  <c r="P278"/>
  <c r="Q278"/>
  <c r="AA85"/>
  <c r="Y87"/>
  <c r="Z72"/>
  <c r="Y75"/>
  <c r="AC80" s="1"/>
  <c r="Y520"/>
  <c r="C27" i="9"/>
  <c r="E27" s="1"/>
  <c r="AA276" i="8"/>
  <c r="C34" i="9"/>
  <c r="E34" s="1"/>
  <c r="Z263" i="8"/>
  <c r="AA263"/>
  <c r="Z248"/>
  <c r="C20" i="9"/>
  <c r="E20" s="1"/>
  <c r="C16"/>
  <c r="E16" s="1"/>
  <c r="Z255" i="8"/>
  <c r="Y258"/>
  <c r="Q642"/>
  <c r="I642"/>
  <c r="U642"/>
  <c r="M642"/>
  <c r="R642"/>
  <c r="J642"/>
  <c r="T642"/>
  <c r="P642"/>
  <c r="L642"/>
  <c r="G642"/>
  <c r="V642"/>
  <c r="N642"/>
  <c r="W642"/>
  <c r="S642"/>
  <c r="O642"/>
  <c r="K642"/>
  <c r="F642"/>
  <c r="H642"/>
  <c r="F13"/>
  <c r="E13"/>
  <c r="M13"/>
  <c r="Q13"/>
  <c r="U13"/>
  <c r="J13"/>
  <c r="N13"/>
  <c r="R13"/>
  <c r="V13"/>
  <c r="AA459"/>
  <c r="Z459"/>
  <c r="AA472"/>
  <c r="Z472"/>
  <c r="AA480"/>
  <c r="Z480"/>
  <c r="AA536"/>
  <c r="Z536"/>
  <c r="AA247"/>
  <c r="C19" i="9"/>
  <c r="E19" s="1"/>
  <c r="AA462" i="8"/>
  <c r="Z462"/>
  <c r="AA479"/>
  <c r="Z479"/>
  <c r="AA506"/>
  <c r="Z506"/>
  <c r="AA535"/>
  <c r="Z535"/>
  <c r="Z250"/>
  <c r="C24" i="9"/>
  <c r="E24" s="1"/>
  <c r="AA466" i="8"/>
  <c r="Z466"/>
  <c r="AA457"/>
  <c r="Z457"/>
  <c r="AA461"/>
  <c r="Z461"/>
  <c r="AA474"/>
  <c r="Z474"/>
  <c r="AA478"/>
  <c r="Z478"/>
  <c r="AA482"/>
  <c r="Z482"/>
  <c r="AA494"/>
  <c r="Z494"/>
  <c r="AA505"/>
  <c r="Z505"/>
  <c r="AA509"/>
  <c r="Z509"/>
  <c r="AA513"/>
  <c r="Z513"/>
  <c r="AA517"/>
  <c r="Z517"/>
  <c r="AA523"/>
  <c r="Z523"/>
  <c r="AA528"/>
  <c r="Z528"/>
  <c r="L13"/>
  <c r="T13"/>
  <c r="K13"/>
  <c r="O13"/>
  <c r="S13"/>
  <c r="W13"/>
  <c r="AA463"/>
  <c r="Z463"/>
  <c r="AA484"/>
  <c r="Z484"/>
  <c r="AA511"/>
  <c r="Z511"/>
  <c r="AA526"/>
  <c r="Z526"/>
  <c r="AA458"/>
  <c r="Z458"/>
  <c r="AA483"/>
  <c r="Z483"/>
  <c r="AA510"/>
  <c r="Z510"/>
  <c r="AA514"/>
  <c r="Z514"/>
  <c r="AA525"/>
  <c r="Z525"/>
  <c r="AA449"/>
  <c r="Y453"/>
  <c r="AA465"/>
  <c r="Z465"/>
  <c r="AA464"/>
  <c r="Z464"/>
  <c r="AA473"/>
  <c r="Z473"/>
  <c r="AA477"/>
  <c r="Z477"/>
  <c r="AA481"/>
  <c r="Z481"/>
  <c r="AA485"/>
  <c r="Z485"/>
  <c r="AA493"/>
  <c r="Z493"/>
  <c r="AA508"/>
  <c r="Z508"/>
  <c r="AA512"/>
  <c r="Z512"/>
  <c r="AA516"/>
  <c r="Z516"/>
  <c r="AA537"/>
  <c r="Z537"/>
  <c r="P13"/>
  <c r="Y608"/>
  <c r="AA575"/>
  <c r="Z575"/>
  <c r="AA583"/>
  <c r="Z583"/>
  <c r="AA587"/>
  <c r="Z587"/>
  <c r="AA591"/>
  <c r="Z591"/>
  <c r="AA599"/>
  <c r="Z599"/>
  <c r="AA604"/>
  <c r="Z604"/>
  <c r="AA607"/>
  <c r="Z607"/>
  <c r="AA582"/>
  <c r="Z582"/>
  <c r="AA586"/>
  <c r="Z586"/>
  <c r="AA590"/>
  <c r="Z590"/>
  <c r="AA603"/>
  <c r="Z603"/>
  <c r="AA581"/>
  <c r="Z581"/>
  <c r="AA601"/>
  <c r="Z601"/>
  <c r="AA572"/>
  <c r="Z572"/>
  <c r="AA576"/>
  <c r="Z576"/>
  <c r="AA580"/>
  <c r="Z580"/>
  <c r="AA584"/>
  <c r="Z584"/>
  <c r="AA588"/>
  <c r="Z588"/>
  <c r="AA592"/>
  <c r="Z592"/>
  <c r="AA596"/>
  <c r="Z596"/>
  <c r="AA600"/>
  <c r="Z600"/>
  <c r="AA605"/>
  <c r="Z605"/>
  <c r="AA571"/>
  <c r="Z571"/>
  <c r="AA579"/>
  <c r="Z579"/>
  <c r="AA595"/>
  <c r="Z595"/>
  <c r="AA578"/>
  <c r="Z578"/>
  <c r="AA577"/>
  <c r="Z577"/>
  <c r="AA585"/>
  <c r="Z585"/>
  <c r="AA589"/>
  <c r="Z589"/>
  <c r="AA593"/>
  <c r="Z593"/>
  <c r="AA597"/>
  <c r="Z597"/>
  <c r="AA606"/>
  <c r="Z606"/>
  <c r="AA574"/>
  <c r="Z574"/>
  <c r="AA573"/>
  <c r="Z573"/>
  <c r="Z213"/>
  <c r="C6" i="9"/>
  <c r="E6" s="1"/>
  <c r="Z222" i="8"/>
  <c r="C15" i="9"/>
  <c r="E15" s="1"/>
  <c r="Z231" i="8"/>
  <c r="C25" i="9"/>
  <c r="E25" s="1"/>
  <c r="Z235" i="8"/>
  <c r="C29" i="9"/>
  <c r="E29" s="1"/>
  <c r="Z215" i="8"/>
  <c r="C8" i="9"/>
  <c r="E8" s="1"/>
  <c r="AA224" i="8"/>
  <c r="C17" i="9"/>
  <c r="E17" s="1"/>
  <c r="Z233" i="8"/>
  <c r="Z237"/>
  <c r="C31" i="9"/>
  <c r="E31" s="1"/>
  <c r="Z218" i="8"/>
  <c r="C11" i="9"/>
  <c r="E11" s="1"/>
  <c r="Z223" i="8"/>
  <c r="Z227"/>
  <c r="C21" i="9"/>
  <c r="E21" s="1"/>
  <c r="AA232" i="8"/>
  <c r="C26" i="9"/>
  <c r="E26" s="1"/>
  <c r="AA236" i="8"/>
  <c r="E30" i="9"/>
  <c r="AA240" i="8"/>
  <c r="C35" i="9"/>
  <c r="E35" s="1"/>
  <c r="Z217" i="8"/>
  <c r="C10" i="9"/>
  <c r="E10" s="1"/>
  <c r="Z226" i="8"/>
  <c r="AA216"/>
  <c r="C9" i="9"/>
  <c r="E9" s="1"/>
  <c r="Z221" i="8"/>
  <c r="C14" i="9"/>
  <c r="E14" s="1"/>
  <c r="Z225" i="8"/>
  <c r="C18" i="9"/>
  <c r="E18" s="1"/>
  <c r="Z229" i="8"/>
  <c r="C23" i="9"/>
  <c r="E23" s="1"/>
  <c r="Z234" i="8"/>
  <c r="C28" i="9"/>
  <c r="E28" s="1"/>
  <c r="AA228" i="8"/>
  <c r="C22" i="9"/>
  <c r="E22" s="1"/>
  <c r="Z241" i="8"/>
  <c r="C36" i="9"/>
  <c r="Z214" i="8"/>
  <c r="Y242"/>
  <c r="H13"/>
  <c r="I13"/>
  <c r="AA161"/>
  <c r="AA100"/>
  <c r="H94"/>
  <c r="I94"/>
  <c r="J94"/>
  <c r="F94"/>
  <c r="K94"/>
  <c r="G94"/>
  <c r="AC153"/>
  <c r="AA646"/>
  <c r="N531"/>
  <c r="Y670"/>
  <c r="AA656"/>
  <c r="I531"/>
  <c r="Y665"/>
  <c r="Y652"/>
  <c r="U531"/>
  <c r="M531"/>
  <c r="Y637"/>
  <c r="Q531"/>
  <c r="Y495"/>
  <c r="V531"/>
  <c r="F531"/>
  <c r="Y634"/>
  <c r="AA492"/>
  <c r="T531"/>
  <c r="P531"/>
  <c r="L531"/>
  <c r="H531"/>
  <c r="R531"/>
  <c r="J531"/>
  <c r="W531"/>
  <c r="S531"/>
  <c r="O531"/>
  <c r="K531"/>
  <c r="G531"/>
  <c r="Y538"/>
  <c r="Y529"/>
  <c r="Y488"/>
  <c r="Y468"/>
  <c r="Z430"/>
  <c r="Z193"/>
  <c r="AA196"/>
  <c r="Z216"/>
  <c r="AA342"/>
  <c r="AA306"/>
  <c r="Z313"/>
  <c r="Z425"/>
  <c r="J309"/>
  <c r="AA226"/>
  <c r="AA323"/>
  <c r="Z326"/>
  <c r="Z333"/>
  <c r="Z421"/>
  <c r="Z419"/>
  <c r="R309"/>
  <c r="Z188"/>
  <c r="U309"/>
  <c r="Q309"/>
  <c r="M309"/>
  <c r="I309"/>
  <c r="Z433"/>
  <c r="AA205"/>
  <c r="Z331"/>
  <c r="AA343"/>
  <c r="AA201"/>
  <c r="Z204"/>
  <c r="AA218"/>
  <c r="Z232"/>
  <c r="Z245"/>
  <c r="AA248"/>
  <c r="AA327"/>
  <c r="Z330"/>
  <c r="AA338"/>
  <c r="AA363"/>
  <c r="Z422"/>
  <c r="Z432"/>
  <c r="AA410"/>
  <c r="Z418"/>
  <c r="AA234"/>
  <c r="Y277"/>
  <c r="T309"/>
  <c r="P309"/>
  <c r="L309"/>
  <c r="H309"/>
  <c r="Z289"/>
  <c r="Z396"/>
  <c r="Z424"/>
  <c r="Z429"/>
  <c r="Z190"/>
  <c r="Z224"/>
  <c r="Z240"/>
  <c r="Z335"/>
  <c r="AA359"/>
  <c r="Z426"/>
  <c r="Z414"/>
  <c r="V309"/>
  <c r="N309"/>
  <c r="F309"/>
  <c r="Z420"/>
  <c r="AA416"/>
  <c r="Z413"/>
  <c r="AA411"/>
  <c r="Z409"/>
  <c r="Z428"/>
  <c r="Y434"/>
  <c r="AC444" s="1"/>
  <c r="AA412"/>
  <c r="AA417"/>
  <c r="Z423"/>
  <c r="Z427"/>
  <c r="Z431"/>
  <c r="Z401"/>
  <c r="Y405"/>
  <c r="Z404"/>
  <c r="Z402"/>
  <c r="AA403"/>
  <c r="Z395"/>
  <c r="AA394"/>
  <c r="Z394"/>
  <c r="Z383"/>
  <c r="Y384"/>
  <c r="AA381"/>
  <c r="Z381"/>
  <c r="AA382"/>
  <c r="Z364"/>
  <c r="Z362"/>
  <c r="AA360"/>
  <c r="Y365"/>
  <c r="Z358"/>
  <c r="AA361"/>
  <c r="Z347"/>
  <c r="Z346"/>
  <c r="Z341"/>
  <c r="AA339"/>
  <c r="Z337"/>
  <c r="AA334"/>
  <c r="Z329"/>
  <c r="Z325"/>
  <c r="Y348"/>
  <c r="AC353" s="1"/>
  <c r="AA324"/>
  <c r="Z328"/>
  <c r="Z332"/>
  <c r="Z336"/>
  <c r="Z340"/>
  <c r="Z344"/>
  <c r="G285"/>
  <c r="I285"/>
  <c r="Z187"/>
  <c r="Z195"/>
  <c r="AA200"/>
  <c r="Z207"/>
  <c r="Z220"/>
  <c r="Z228"/>
  <c r="Z236"/>
  <c r="Z247"/>
  <c r="Z276"/>
  <c r="Y290"/>
  <c r="AA300"/>
  <c r="K285"/>
  <c r="Z55"/>
  <c r="Z74"/>
  <c r="AA214"/>
  <c r="AA222"/>
  <c r="Z264"/>
  <c r="H285"/>
  <c r="J285"/>
  <c r="F285"/>
  <c r="W309"/>
  <c r="S309"/>
  <c r="O309"/>
  <c r="K309"/>
  <c r="G309"/>
  <c r="Z305"/>
  <c r="Y314"/>
  <c r="AA296"/>
  <c r="Y307"/>
  <c r="Y252"/>
  <c r="Z73"/>
  <c r="Z85"/>
  <c r="AA192"/>
  <c r="AA197"/>
  <c r="Z203"/>
  <c r="AA213"/>
  <c r="AA217"/>
  <c r="AA221"/>
  <c r="AA225"/>
  <c r="AA229"/>
  <c r="AA233"/>
  <c r="AA237"/>
  <c r="AA241"/>
  <c r="AA249"/>
  <c r="AA269"/>
  <c r="Y266"/>
  <c r="AA297"/>
  <c r="Z199"/>
  <c r="Z251"/>
  <c r="Z269"/>
  <c r="Z299"/>
  <c r="AA304"/>
  <c r="AA298"/>
  <c r="AA261"/>
  <c r="AA255"/>
  <c r="AA246"/>
  <c r="AA250"/>
  <c r="AA215"/>
  <c r="AA223"/>
  <c r="AA227"/>
  <c r="AA231"/>
  <c r="AA235"/>
  <c r="AA194"/>
  <c r="AA198"/>
  <c r="AA202"/>
  <c r="Z189"/>
  <c r="Z206"/>
  <c r="Z86"/>
  <c r="AA128"/>
  <c r="AA72"/>
  <c r="Y278" l="1"/>
  <c r="Z87"/>
  <c r="AA87"/>
  <c r="AA75"/>
  <c r="Z75"/>
  <c r="AC282"/>
  <c r="AC274" s="1"/>
  <c r="AC370"/>
  <c r="Z14"/>
  <c r="AA14"/>
  <c r="G13"/>
  <c r="AC628"/>
  <c r="Y642"/>
  <c r="AA520"/>
  <c r="Z520"/>
  <c r="Z488"/>
  <c r="E36" i="9"/>
  <c r="E37" s="1"/>
  <c r="C37"/>
  <c r="AC389" i="8"/>
  <c r="AC92"/>
  <c r="AA608"/>
  <c r="Y531"/>
  <c r="AA453"/>
  <c r="Y309"/>
  <c r="Y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E51"/>
  <c r="D51"/>
  <c r="C51"/>
  <c r="Y50"/>
  <c r="AA50" s="1"/>
  <c r="Y49"/>
  <c r="AA49" s="1"/>
  <c r="Y48"/>
  <c r="Z48" s="1"/>
  <c r="Y47"/>
  <c r="AA47" s="1"/>
  <c r="Y46"/>
  <c r="Z46" s="1"/>
  <c r="Y45"/>
  <c r="AA45" s="1"/>
  <c r="Y40"/>
  <c r="AA40" s="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Y32"/>
  <c r="AA32" s="1"/>
  <c r="F36"/>
  <c r="H36"/>
  <c r="I36"/>
  <c r="J36"/>
  <c r="K36"/>
  <c r="L36"/>
  <c r="M36"/>
  <c r="N36"/>
  <c r="O36"/>
  <c r="P36"/>
  <c r="Q36"/>
  <c r="R36"/>
  <c r="S36"/>
  <c r="T36"/>
  <c r="U36"/>
  <c r="V36"/>
  <c r="W36"/>
  <c r="Y19"/>
  <c r="Y20"/>
  <c r="Z20" s="1"/>
  <c r="Y21"/>
  <c r="Z21" s="1"/>
  <c r="Y22"/>
  <c r="AA22" s="1"/>
  <c r="Y23"/>
  <c r="Z23" s="1"/>
  <c r="Y24"/>
  <c r="Z24" s="1"/>
  <c r="Y25"/>
  <c r="Z25" s="1"/>
  <c r="Y26"/>
  <c r="Z26" s="1"/>
  <c r="Y27"/>
  <c r="Z27" s="1"/>
  <c r="Y28"/>
  <c r="Z28" s="1"/>
  <c r="Y29"/>
  <c r="AA29" s="1"/>
  <c r="Y30"/>
  <c r="AA30" s="1"/>
  <c r="Y31"/>
  <c r="Z31" s="1"/>
  <c r="Y33"/>
  <c r="Z33" s="1"/>
  <c r="Y34"/>
  <c r="Z34" s="1"/>
  <c r="Y35"/>
  <c r="AA35" s="1"/>
  <c r="Y18"/>
  <c r="Z18" s="1"/>
  <c r="U8"/>
  <c r="M8"/>
  <c r="T8"/>
  <c r="V8"/>
  <c r="W8"/>
  <c r="H8"/>
  <c r="J8"/>
  <c r="L8"/>
  <c r="N8"/>
  <c r="P8"/>
  <c r="Q8"/>
  <c r="R8"/>
  <c r="K8"/>
  <c r="F8"/>
  <c r="E670"/>
  <c r="D670"/>
  <c r="C670"/>
  <c r="E665"/>
  <c r="D665"/>
  <c r="C665"/>
  <c r="E657"/>
  <c r="D657"/>
  <c r="C657"/>
  <c r="E652"/>
  <c r="D652"/>
  <c r="C652"/>
  <c r="E647"/>
  <c r="D647"/>
  <c r="C647"/>
  <c r="E637"/>
  <c r="C637"/>
  <c r="E634"/>
  <c r="D634"/>
  <c r="C634"/>
  <c r="E608"/>
  <c r="C608"/>
  <c r="C630" s="1"/>
  <c r="D567"/>
  <c r="C567"/>
  <c r="E538"/>
  <c r="D538"/>
  <c r="C538"/>
  <c r="Z538" s="1"/>
  <c r="E529"/>
  <c r="D529"/>
  <c r="AA529" s="1"/>
  <c r="C529"/>
  <c r="Z529" s="1"/>
  <c r="E495"/>
  <c r="D495"/>
  <c r="C495"/>
  <c r="Z495" s="1"/>
  <c r="E468"/>
  <c r="D468"/>
  <c r="C468"/>
  <c r="Z468" s="1"/>
  <c r="E488"/>
  <c r="D488"/>
  <c r="E434"/>
  <c r="D446"/>
  <c r="C434"/>
  <c r="D405"/>
  <c r="C405"/>
  <c r="Z405" s="1"/>
  <c r="E397"/>
  <c r="D397"/>
  <c r="C397"/>
  <c r="Z397" s="1"/>
  <c r="E384"/>
  <c r="D384"/>
  <c r="D391" s="1"/>
  <c r="C384"/>
  <c r="E365"/>
  <c r="D365"/>
  <c r="D372" s="1"/>
  <c r="C365"/>
  <c r="C372" s="1"/>
  <c r="E348"/>
  <c r="E355" s="1"/>
  <c r="D348"/>
  <c r="D355" s="1"/>
  <c r="C348"/>
  <c r="D314"/>
  <c r="C314"/>
  <c r="Z314" s="1"/>
  <c r="AA307"/>
  <c r="Z307"/>
  <c r="E301"/>
  <c r="D301"/>
  <c r="AA301" s="1"/>
  <c r="C301"/>
  <c r="Z301" s="1"/>
  <c r="E290"/>
  <c r="D290"/>
  <c r="C290"/>
  <c r="Z290" s="1"/>
  <c r="AA277"/>
  <c r="Z277"/>
  <c r="AA273"/>
  <c r="Z273"/>
  <c r="E266"/>
  <c r="D266"/>
  <c r="C266"/>
  <c r="Z266" s="1"/>
  <c r="AA258"/>
  <c r="Z258"/>
  <c r="E252"/>
  <c r="D252"/>
  <c r="C252"/>
  <c r="Z252" s="1"/>
  <c r="E242"/>
  <c r="AA242"/>
  <c r="C242"/>
  <c r="E208"/>
  <c r="D208"/>
  <c r="C208"/>
  <c r="Z208" s="1"/>
  <c r="C181"/>
  <c r="C148"/>
  <c r="C126" s="1"/>
  <c r="C128" s="1"/>
  <c r="C120"/>
  <c r="C99" s="1"/>
  <c r="C100" s="1"/>
  <c r="Z100" s="1"/>
  <c r="D82"/>
  <c r="C82"/>
  <c r="E56"/>
  <c r="D56"/>
  <c r="C56"/>
  <c r="E41"/>
  <c r="D41"/>
  <c r="C41"/>
  <c r="E36"/>
  <c r="D36"/>
  <c r="C36"/>
  <c r="E8"/>
  <c r="D8"/>
  <c r="E278" l="1"/>
  <c r="C285"/>
  <c r="C278"/>
  <c r="Z278" s="1"/>
  <c r="AA252"/>
  <c r="D278"/>
  <c r="Z434"/>
  <c r="C446"/>
  <c r="Z384"/>
  <c r="C391"/>
  <c r="Z348"/>
  <c r="C355"/>
  <c r="Z365"/>
  <c r="C63"/>
  <c r="D94"/>
  <c r="C38" i="9"/>
  <c r="C41"/>
  <c r="C94" i="8"/>
  <c r="Z128"/>
  <c r="C155"/>
  <c r="D63"/>
  <c r="AA266"/>
  <c r="D285"/>
  <c r="D642"/>
  <c r="Z608"/>
  <c r="C642"/>
  <c r="E642"/>
  <c r="AA567"/>
  <c r="AA314"/>
  <c r="AA365"/>
  <c r="AA495"/>
  <c r="AA290"/>
  <c r="AA405"/>
  <c r="AA384"/>
  <c r="AA634"/>
  <c r="AA652"/>
  <c r="AA670"/>
  <c r="AA538"/>
  <c r="AA657"/>
  <c r="AA397"/>
  <c r="AA647"/>
  <c r="AA665"/>
  <c r="AA637"/>
  <c r="AA488"/>
  <c r="AA468"/>
  <c r="AA434"/>
  <c r="AA348"/>
  <c r="AA208"/>
  <c r="E94"/>
  <c r="Z242"/>
  <c r="E285"/>
  <c r="Z56"/>
  <c r="AA56"/>
  <c r="C183"/>
  <c r="C160" s="1"/>
  <c r="C161" s="1"/>
  <c r="Z161" s="1"/>
  <c r="Z49"/>
  <c r="AA48"/>
  <c r="Z47"/>
  <c r="Y51"/>
  <c r="Z45"/>
  <c r="Y41"/>
  <c r="AA46"/>
  <c r="Z40"/>
  <c r="AA26"/>
  <c r="Z35"/>
  <c r="AA19"/>
  <c r="AA25"/>
  <c r="AA34"/>
  <c r="AA21"/>
  <c r="AA20"/>
  <c r="AA23"/>
  <c r="AA18"/>
  <c r="AA33"/>
  <c r="AA31"/>
  <c r="Z30"/>
  <c r="Z29"/>
  <c r="AA28"/>
  <c r="AA27"/>
  <c r="AA24"/>
  <c r="Z22"/>
  <c r="Y36"/>
  <c r="G8"/>
  <c r="I8"/>
  <c r="S8"/>
  <c r="O8"/>
  <c r="Y6"/>
  <c r="Y7"/>
  <c r="AA7" s="1"/>
  <c r="D531"/>
  <c r="D309"/>
  <c r="E531"/>
  <c r="C309"/>
  <c r="Z309" s="1"/>
  <c r="C531"/>
  <c r="E309"/>
  <c r="C678" l="1"/>
  <c r="C676"/>
  <c r="AA278"/>
  <c r="AA642"/>
  <c r="AA531"/>
  <c r="AA309"/>
  <c r="AA41"/>
  <c r="Z51"/>
  <c r="AC61"/>
  <c r="Z7"/>
  <c r="Z41"/>
  <c r="AA51"/>
  <c r="Z5"/>
  <c r="AA5"/>
  <c r="Z6"/>
  <c r="AA6"/>
  <c r="Z36"/>
  <c r="AA36"/>
  <c r="Y8"/>
  <c r="C681" s="1"/>
  <c r="D683" s="1"/>
  <c r="Z8" l="1"/>
  <c r="AA8"/>
  <c r="F16" i="6"/>
  <c r="G16"/>
  <c r="F21"/>
  <c r="G21"/>
  <c r="F30"/>
  <c r="G30"/>
  <c r="F38"/>
  <c r="G38"/>
  <c r="F41"/>
  <c r="F27" s="1"/>
  <c r="G41"/>
  <c r="G27" s="1"/>
  <c r="F75"/>
  <c r="G75"/>
  <c r="Q87"/>
  <c r="Q86"/>
  <c r="Q77"/>
  <c r="Q78"/>
  <c r="Q79"/>
  <c r="Q80"/>
  <c r="Q81"/>
  <c r="Q82"/>
  <c r="Q83"/>
  <c r="Q84"/>
  <c r="Q85"/>
  <c r="Q76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2"/>
  <c r="Q63"/>
  <c r="Q64"/>
  <c r="Q65"/>
  <c r="Q66"/>
  <c r="Q67"/>
  <c r="Q68"/>
  <c r="Q69"/>
  <c r="Q70"/>
  <c r="Q71"/>
  <c r="Q72"/>
  <c r="Q73"/>
  <c r="Q42"/>
  <c r="Q40"/>
  <c r="Q39"/>
  <c r="Q34"/>
  <c r="Q35"/>
  <c r="Q36"/>
  <c r="Q37"/>
  <c r="Q33"/>
  <c r="Q32"/>
  <c r="Q31"/>
  <c r="Q29"/>
  <c r="Q28"/>
  <c r="Q23"/>
  <c r="Q24"/>
  <c r="Q25"/>
  <c r="Q26"/>
  <c r="Q22"/>
  <c r="Q20"/>
  <c r="Q19"/>
  <c r="Q18"/>
  <c r="Q16" s="1"/>
  <c r="Q17"/>
  <c r="Q8"/>
  <c r="Q9"/>
  <c r="Q10"/>
  <c r="Q11"/>
  <c r="Q12"/>
  <c r="Q13"/>
  <c r="Q14"/>
  <c r="Q15"/>
  <c r="Q7"/>
  <c r="P75"/>
  <c r="P41"/>
  <c r="P38"/>
  <c r="P30"/>
  <c r="P21"/>
  <c r="P6" s="1"/>
  <c r="P16"/>
  <c r="O75"/>
  <c r="O41"/>
  <c r="O38"/>
  <c r="O30"/>
  <c r="O21"/>
  <c r="O16"/>
  <c r="N75"/>
  <c r="N41"/>
  <c r="N38"/>
  <c r="N30"/>
  <c r="N21"/>
  <c r="N16"/>
  <c r="M75"/>
  <c r="M41"/>
  <c r="M38"/>
  <c r="M30"/>
  <c r="M21"/>
  <c r="M16"/>
  <c r="L75"/>
  <c r="L41"/>
  <c r="L38"/>
  <c r="L30"/>
  <c r="L21"/>
  <c r="L16"/>
  <c r="K75"/>
  <c r="K41"/>
  <c r="K38"/>
  <c r="K30"/>
  <c r="K21"/>
  <c r="K6" s="1"/>
  <c r="K16"/>
  <c r="J75"/>
  <c r="J41"/>
  <c r="J38"/>
  <c r="J30"/>
  <c r="J21"/>
  <c r="J16"/>
  <c r="I75"/>
  <c r="I41"/>
  <c r="I38"/>
  <c r="I30"/>
  <c r="I21"/>
  <c r="I16"/>
  <c r="H75"/>
  <c r="H41"/>
  <c r="H38"/>
  <c r="H30"/>
  <c r="H21"/>
  <c r="H16"/>
  <c r="AF87"/>
  <c r="AF77"/>
  <c r="AG77" s="1"/>
  <c r="AF78"/>
  <c r="AF79"/>
  <c r="AF80"/>
  <c r="AF81"/>
  <c r="AF82"/>
  <c r="AF83"/>
  <c r="AF84"/>
  <c r="AF85"/>
  <c r="AF86"/>
  <c r="AF44"/>
  <c r="AG44" s="1"/>
  <c r="AF45"/>
  <c r="AH45" s="1"/>
  <c r="AF46"/>
  <c r="AF47"/>
  <c r="AH47" s="1"/>
  <c r="AF48"/>
  <c r="AG48" s="1"/>
  <c r="AF49"/>
  <c r="AF50"/>
  <c r="AF51"/>
  <c r="AH51" s="1"/>
  <c r="AF52"/>
  <c r="AF53"/>
  <c r="AF54"/>
  <c r="AF55"/>
  <c r="AF56"/>
  <c r="AF57"/>
  <c r="AH57" s="1"/>
  <c r="AF58"/>
  <c r="AF59"/>
  <c r="AH59" s="1"/>
  <c r="AF62"/>
  <c r="AF63"/>
  <c r="AF64"/>
  <c r="AF65"/>
  <c r="AF66"/>
  <c r="AF67"/>
  <c r="AF68"/>
  <c r="AF69"/>
  <c r="AF70"/>
  <c r="AG70" s="1"/>
  <c r="AF71"/>
  <c r="AF72"/>
  <c r="AF73"/>
  <c r="AF76"/>
  <c r="AF40"/>
  <c r="AG40" s="1"/>
  <c r="AF42"/>
  <c r="AH42" s="1"/>
  <c r="AF43"/>
  <c r="AH43" s="1"/>
  <c r="AF34"/>
  <c r="AF35"/>
  <c r="AF36"/>
  <c r="AG36" s="1"/>
  <c r="AF37"/>
  <c r="AF39"/>
  <c r="AF32"/>
  <c r="AG32" s="1"/>
  <c r="AF33"/>
  <c r="AF29"/>
  <c r="AH29" s="1"/>
  <c r="AF31"/>
  <c r="AF28"/>
  <c r="AF23"/>
  <c r="AF24"/>
  <c r="AG24" s="1"/>
  <c r="AF25"/>
  <c r="AF26"/>
  <c r="AF20"/>
  <c r="AG20" s="1"/>
  <c r="AF22"/>
  <c r="AH22" s="1"/>
  <c r="AF18"/>
  <c r="AF19"/>
  <c r="AG19" s="1"/>
  <c r="AF17"/>
  <c r="AH17" s="1"/>
  <c r="AF7"/>
  <c r="AF8"/>
  <c r="AF9"/>
  <c r="AG9" s="1"/>
  <c r="AF10"/>
  <c r="AG10" s="1"/>
  <c r="AF11"/>
  <c r="AH11" s="1"/>
  <c r="AF12"/>
  <c r="AF13"/>
  <c r="AG13" s="1"/>
  <c r="AF14"/>
  <c r="AG14" s="1"/>
  <c r="AF15"/>
  <c r="AG15" s="1"/>
  <c r="AD75"/>
  <c r="AD41"/>
  <c r="AD38"/>
  <c r="AD30"/>
  <c r="AD21"/>
  <c r="AD16"/>
  <c r="AC75"/>
  <c r="AC41"/>
  <c r="AC38"/>
  <c r="AC30"/>
  <c r="AC21"/>
  <c r="AC16"/>
  <c r="AB75"/>
  <c r="AB41"/>
  <c r="AB38"/>
  <c r="AB30"/>
  <c r="AB21"/>
  <c r="AB16"/>
  <c r="AA75"/>
  <c r="AA41"/>
  <c r="AA38"/>
  <c r="AA30"/>
  <c r="AA21"/>
  <c r="AA16"/>
  <c r="Z75"/>
  <c r="Z41"/>
  <c r="Z38"/>
  <c r="Z30"/>
  <c r="Z21"/>
  <c r="Z16"/>
  <c r="Y75"/>
  <c r="Y41"/>
  <c r="Y38"/>
  <c r="Y30"/>
  <c r="Y21"/>
  <c r="Y16"/>
  <c r="X75"/>
  <c r="X41"/>
  <c r="X38"/>
  <c r="X30"/>
  <c r="X21"/>
  <c r="X16"/>
  <c r="W75"/>
  <c r="W41"/>
  <c r="W38"/>
  <c r="W30"/>
  <c r="W21"/>
  <c r="W16"/>
  <c r="V75"/>
  <c r="V41"/>
  <c r="V38"/>
  <c r="V30"/>
  <c r="V21"/>
  <c r="V16"/>
  <c r="U75"/>
  <c r="U41"/>
  <c r="U38"/>
  <c r="U30"/>
  <c r="U21"/>
  <c r="U16"/>
  <c r="T75"/>
  <c r="T41"/>
  <c r="T38"/>
  <c r="T30"/>
  <c r="T21"/>
  <c r="T16"/>
  <c r="E41"/>
  <c r="Y52" i="7"/>
  <c r="O51"/>
  <c r="K51"/>
  <c r="J51"/>
  <c r="Z50"/>
  <c r="W50"/>
  <c r="T50"/>
  <c r="L50"/>
  <c r="Z49"/>
  <c r="W49"/>
  <c r="U49"/>
  <c r="L49"/>
  <c r="T49" s="1"/>
  <c r="W48"/>
  <c r="L48"/>
  <c r="T48" s="1"/>
  <c r="L47"/>
  <c r="M49" s="1"/>
  <c r="Z46"/>
  <c r="W46"/>
  <c r="L46"/>
  <c r="T46" s="1"/>
  <c r="Z45"/>
  <c r="W45"/>
  <c r="U45"/>
  <c r="L45"/>
  <c r="T45" s="1"/>
  <c r="W44"/>
  <c r="L44"/>
  <c r="T44" s="1"/>
  <c r="W43"/>
  <c r="L43"/>
  <c r="T43" s="1"/>
  <c r="W42"/>
  <c r="L42"/>
  <c r="M45" s="1"/>
  <c r="Z41"/>
  <c r="W41"/>
  <c r="L41"/>
  <c r="T41" s="1"/>
  <c r="Z40"/>
  <c r="W40"/>
  <c r="L40"/>
  <c r="T40" s="1"/>
  <c r="Z39"/>
  <c r="W39"/>
  <c r="L39"/>
  <c r="T39" s="1"/>
  <c r="Z38"/>
  <c r="W38"/>
  <c r="L38"/>
  <c r="T38" s="1"/>
  <c r="Z37"/>
  <c r="W37"/>
  <c r="L37"/>
  <c r="T37" s="1"/>
  <c r="W36"/>
  <c r="U36"/>
  <c r="R36"/>
  <c r="Z36" s="1"/>
  <c r="L36"/>
  <c r="T36" s="1"/>
  <c r="W35"/>
  <c r="L35"/>
  <c r="T35" s="1"/>
  <c r="W34"/>
  <c r="L34"/>
  <c r="T34" s="1"/>
  <c r="W33"/>
  <c r="L33"/>
  <c r="M36" s="1"/>
  <c r="Z32"/>
  <c r="W32"/>
  <c r="L32"/>
  <c r="T32" s="1"/>
  <c r="Z31"/>
  <c r="W31"/>
  <c r="U31"/>
  <c r="L31"/>
  <c r="T31" s="1"/>
  <c r="W30"/>
  <c r="L30"/>
  <c r="W29"/>
  <c r="L29"/>
  <c r="T29" s="1"/>
  <c r="Z28"/>
  <c r="W28"/>
  <c r="L28"/>
  <c r="T28" s="1"/>
  <c r="Z27"/>
  <c r="L27"/>
  <c r="Z26"/>
  <c r="W26"/>
  <c r="T26"/>
  <c r="Z25"/>
  <c r="W25"/>
  <c r="U25"/>
  <c r="L25"/>
  <c r="T25" s="1"/>
  <c r="W24"/>
  <c r="L24"/>
  <c r="T24" s="1"/>
  <c r="Z23"/>
  <c r="W23"/>
  <c r="L23"/>
  <c r="T23" s="1"/>
  <c r="Z22"/>
  <c r="W22"/>
  <c r="L22"/>
  <c r="T22" s="1"/>
  <c r="Z21"/>
  <c r="U21"/>
  <c r="T21"/>
  <c r="W20"/>
  <c r="L20"/>
  <c r="T20" s="1"/>
  <c r="W19"/>
  <c r="L19"/>
  <c r="T19" s="1"/>
  <c r="W18"/>
  <c r="L18"/>
  <c r="T18" s="1"/>
  <c r="W17"/>
  <c r="L17"/>
  <c r="M21" s="1"/>
  <c r="Z16"/>
  <c r="W16"/>
  <c r="U16"/>
  <c r="L16"/>
  <c r="T16" s="1"/>
  <c r="W15"/>
  <c r="L15"/>
  <c r="T15" s="1"/>
  <c r="W14"/>
  <c r="T14"/>
  <c r="L14"/>
  <c r="W13"/>
  <c r="U13"/>
  <c r="R13"/>
  <c r="Z13" s="1"/>
  <c r="AA15" s="1"/>
  <c r="AA17" s="1"/>
  <c r="L13"/>
  <c r="T13" s="1"/>
  <c r="W12"/>
  <c r="L12"/>
  <c r="T12" s="1"/>
  <c r="W11"/>
  <c r="L11"/>
  <c r="M13" s="1"/>
  <c r="W10"/>
  <c r="U10"/>
  <c r="R10"/>
  <c r="Z10" s="1"/>
  <c r="L10"/>
  <c r="T10" s="1"/>
  <c r="W9"/>
  <c r="L9"/>
  <c r="T9" s="1"/>
  <c r="W8"/>
  <c r="R8"/>
  <c r="L8"/>
  <c r="T8" s="1"/>
  <c r="W7"/>
  <c r="T7"/>
  <c r="L7"/>
  <c r="W6"/>
  <c r="L6"/>
  <c r="T6" s="1"/>
  <c r="AA5"/>
  <c r="W5"/>
  <c r="L5"/>
  <c r="M10" s="1"/>
  <c r="E38" i="6"/>
  <c r="S38"/>
  <c r="S30"/>
  <c r="E30"/>
  <c r="S16"/>
  <c r="E16"/>
  <c r="S21"/>
  <c r="E21"/>
  <c r="S75"/>
  <c r="E75"/>
  <c r="D75"/>
  <c r="S41"/>
  <c r="D41"/>
  <c r="D38"/>
  <c r="D30"/>
  <c r="D21"/>
  <c r="D16"/>
  <c r="D58" i="5"/>
  <c r="C58"/>
  <c r="B58"/>
  <c r="D57"/>
  <c r="D54"/>
  <c r="C54"/>
  <c r="B54"/>
  <c r="D53"/>
  <c r="D50"/>
  <c r="C50"/>
  <c r="B50"/>
  <c r="D49"/>
  <c r="C46"/>
  <c r="B46"/>
  <c r="D45"/>
  <c r="D44"/>
  <c r="D43"/>
  <c r="C40"/>
  <c r="B40"/>
  <c r="D39"/>
  <c r="D40" s="1"/>
  <c r="C36"/>
  <c r="B36"/>
  <c r="D35"/>
  <c r="D36" s="1"/>
  <c r="C32"/>
  <c r="B32"/>
  <c r="D31"/>
  <c r="D30"/>
  <c r="D29"/>
  <c r="D28"/>
  <c r="D27"/>
  <c r="D26"/>
  <c r="C23"/>
  <c r="B23"/>
  <c r="D22"/>
  <c r="D21"/>
  <c r="D23" s="1"/>
  <c r="C18"/>
  <c r="B18"/>
  <c r="D17"/>
  <c r="D16"/>
  <c r="D15"/>
  <c r="D14"/>
  <c r="D13"/>
  <c r="C10"/>
  <c r="D9"/>
  <c r="C6"/>
  <c r="D5"/>
  <c r="D4"/>
  <c r="D6" s="1"/>
  <c r="D50" i="4"/>
  <c r="C50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H46" i="6" l="1"/>
  <c r="D32" i="5"/>
  <c r="M31" i="7"/>
  <c r="AH12" i="6"/>
  <c r="AH8"/>
  <c r="AH18"/>
  <c r="AH31"/>
  <c r="AH56"/>
  <c r="AH52"/>
  <c r="T42" i="7"/>
  <c r="D18" i="5"/>
  <c r="T33" i="7"/>
  <c r="F6" i="6"/>
  <c r="E50" i="4"/>
  <c r="D46" i="5"/>
  <c r="M16" i="7"/>
  <c r="W51"/>
  <c r="J6" i="6"/>
  <c r="L6"/>
  <c r="N6"/>
  <c r="AA6"/>
  <c r="AC6"/>
  <c r="AH23"/>
  <c r="I6"/>
  <c r="O6"/>
  <c r="AH62"/>
  <c r="AG62"/>
  <c r="AH54"/>
  <c r="F74"/>
  <c r="F88" s="1"/>
  <c r="AH39"/>
  <c r="Z6"/>
  <c r="AB6"/>
  <c r="AD6"/>
  <c r="AH28"/>
  <c r="M6"/>
  <c r="Q30"/>
  <c r="AH33"/>
  <c r="AH68"/>
  <c r="G6"/>
  <c r="G74" s="1"/>
  <c r="G88" s="1"/>
  <c r="AH73"/>
  <c r="AH34"/>
  <c r="AH82"/>
  <c r="AH87"/>
  <c r="AH26"/>
  <c r="X6"/>
  <c r="AH7"/>
  <c r="AH64"/>
  <c r="AH67"/>
  <c r="AH63"/>
  <c r="AH85"/>
  <c r="AH81"/>
  <c r="AH83"/>
  <c r="AH84"/>
  <c r="AH80"/>
  <c r="AH70"/>
  <c r="AH69"/>
  <c r="AH37"/>
  <c r="AH36"/>
  <c r="AH35"/>
  <c r="AH50"/>
  <c r="AH86"/>
  <c r="AH14"/>
  <c r="AH13"/>
  <c r="AH76"/>
  <c r="AH40"/>
  <c r="AH60"/>
  <c r="AH58"/>
  <c r="AH49"/>
  <c r="AH48"/>
  <c r="AH32"/>
  <c r="AH44"/>
  <c r="AG87"/>
  <c r="AH79"/>
  <c r="AH77"/>
  <c r="AH25"/>
  <c r="AH24"/>
  <c r="AH20"/>
  <c r="AH19"/>
  <c r="V6"/>
  <c r="AH15"/>
  <c r="AH10"/>
  <c r="AH9"/>
  <c r="AH71"/>
  <c r="AH72"/>
  <c r="AH66"/>
  <c r="AH65"/>
  <c r="I27"/>
  <c r="L27"/>
  <c r="N27"/>
  <c r="AH55"/>
  <c r="AH53"/>
  <c r="J27"/>
  <c r="O27"/>
  <c r="O74" s="1"/>
  <c r="O88" s="1"/>
  <c r="K27"/>
  <c r="K74" s="1"/>
  <c r="K88" s="1"/>
  <c r="M27"/>
  <c r="P27"/>
  <c r="P74" s="1"/>
  <c r="P88" s="1"/>
  <c r="AH78"/>
  <c r="Q38"/>
  <c r="Q75"/>
  <c r="Q41"/>
  <c r="Q21"/>
  <c r="AF38"/>
  <c r="AG39"/>
  <c r="AG37"/>
  <c r="AG35"/>
  <c r="AG34"/>
  <c r="AG33"/>
  <c r="AG31"/>
  <c r="AF30"/>
  <c r="AG29"/>
  <c r="AG45"/>
  <c r="AG28"/>
  <c r="AG43"/>
  <c r="AG79"/>
  <c r="AG78"/>
  <c r="AF75"/>
  <c r="AG75" s="1"/>
  <c r="AF16"/>
  <c r="AG18"/>
  <c r="U6"/>
  <c r="AF21"/>
  <c r="T6"/>
  <c r="AG12"/>
  <c r="AG8"/>
  <c r="AG7"/>
  <c r="H27"/>
  <c r="H6"/>
  <c r="AF41"/>
  <c r="AG67"/>
  <c r="AG63"/>
  <c r="AG58"/>
  <c r="AG68"/>
  <c r="AG46"/>
  <c r="AG73"/>
  <c r="AG69"/>
  <c r="AG60"/>
  <c r="AG52"/>
  <c r="AG47"/>
  <c r="V27"/>
  <c r="W6"/>
  <c r="X27"/>
  <c r="Y6"/>
  <c r="Z27"/>
  <c r="AC27"/>
  <c r="AC74" s="1"/>
  <c r="T27"/>
  <c r="AA27"/>
  <c r="AA74" s="1"/>
  <c r="AA88" s="1"/>
  <c r="AD27"/>
  <c r="U27"/>
  <c r="W27"/>
  <c r="Y27"/>
  <c r="AB27"/>
  <c r="T5" i="7"/>
  <c r="T11"/>
  <c r="T17"/>
  <c r="M25"/>
  <c r="T30"/>
  <c r="T47"/>
  <c r="L51"/>
  <c r="E27" i="6"/>
  <c r="D6"/>
  <c r="S6"/>
  <c r="E6"/>
  <c r="D27"/>
  <c r="S27"/>
  <c r="J74" l="1"/>
  <c r="J88" s="1"/>
  <c r="M51" i="7"/>
  <c r="L74" i="6"/>
  <c r="L88" s="1"/>
  <c r="N74"/>
  <c r="N88" s="1"/>
  <c r="AD74"/>
  <c r="AD88" s="1"/>
  <c r="AB74"/>
  <c r="AB88" s="1"/>
  <c r="M74"/>
  <c r="M88" s="1"/>
  <c r="I74"/>
  <c r="I88" s="1"/>
  <c r="Z74"/>
  <c r="Z88" s="1"/>
  <c r="X74"/>
  <c r="X88" s="1"/>
  <c r="W74"/>
  <c r="W88" s="1"/>
  <c r="AH38"/>
  <c r="AG30"/>
  <c r="AH30"/>
  <c r="AH75"/>
  <c r="V74"/>
  <c r="V88" s="1"/>
  <c r="AH16"/>
  <c r="AG41"/>
  <c r="AH41"/>
  <c r="Q6"/>
  <c r="AH21"/>
  <c r="Q27"/>
  <c r="AG38"/>
  <c r="U74"/>
  <c r="U88" s="1"/>
  <c r="AG16"/>
  <c r="AG21"/>
  <c r="T74"/>
  <c r="T88" s="1"/>
  <c r="AF6"/>
  <c r="H74"/>
  <c r="H88" s="1"/>
  <c r="AF27"/>
  <c r="Y74"/>
  <c r="Y88" s="1"/>
  <c r="AC88"/>
  <c r="D74"/>
  <c r="D88" s="1"/>
  <c r="T51" i="7"/>
  <c r="O52" s="1"/>
  <c r="E74" i="6"/>
  <c r="E88" s="1"/>
  <c r="S74"/>
  <c r="AH6" l="1"/>
  <c r="Q74"/>
  <c r="AH27"/>
  <c r="AG27"/>
  <c r="AG6"/>
  <c r="AF74"/>
  <c r="AF88" s="1"/>
  <c r="AG88" s="1"/>
  <c r="S88"/>
  <c r="Q88" l="1"/>
  <c r="AH88" s="1"/>
  <c r="AH74"/>
  <c r="AG74"/>
</calcChain>
</file>

<file path=xl/sharedStrings.xml><?xml version="1.0" encoding="utf-8"?>
<sst xmlns="http://schemas.openxmlformats.org/spreadsheetml/2006/main" count="3777" uniqueCount="784">
  <si>
    <t>SU</t>
  </si>
  <si>
    <t>AU</t>
  </si>
  <si>
    <t>UZ</t>
  </si>
  <si>
    <t>ORG</t>
  </si>
  <si>
    <t>KA</t>
  </si>
  <si>
    <t>§</t>
  </si>
  <si>
    <t>položka</t>
  </si>
  <si>
    <t xml:space="preserve">% plnění
k upravenému
rozpočtu </t>
  </si>
  <si>
    <t>09</t>
  </si>
  <si>
    <t>Školení</t>
  </si>
  <si>
    <t>celkem</t>
  </si>
  <si>
    <t>Jednotlivé investice jsou upřesněny v investičním plánu.</t>
  </si>
  <si>
    <t>Dohody</t>
  </si>
  <si>
    <t>Elektřina</t>
  </si>
  <si>
    <t>Vodovody:</t>
  </si>
  <si>
    <t>02</t>
  </si>
  <si>
    <t>Kanalizace</t>
  </si>
  <si>
    <t>Investiční fond</t>
  </si>
  <si>
    <t>Provozní náklady</t>
  </si>
  <si>
    <t>Plyn</t>
  </si>
  <si>
    <t>Celkem</t>
  </si>
  <si>
    <t>Pojištění</t>
  </si>
  <si>
    <t>I. Kultura</t>
  </si>
  <si>
    <r>
      <rPr>
        <b/>
        <sz val="10"/>
        <color indexed="10"/>
        <rFont val="Arial"/>
        <family val="2"/>
        <charset val="238"/>
      </rPr>
      <t>5152</t>
    </r>
    <r>
      <rPr>
        <b/>
        <sz val="10"/>
        <rFont val="Arial"/>
        <family val="2"/>
        <charset val="238"/>
      </rPr>
      <t xml:space="preserve"> - Teplo - </t>
    </r>
    <r>
      <rPr>
        <sz val="10"/>
        <color indexed="12"/>
        <rFont val="Arial"/>
        <family val="2"/>
        <charset val="238"/>
      </rPr>
      <t>plyn se nakupuje jako teplo</t>
    </r>
  </si>
  <si>
    <t>II. Rodný dům A. Němejce</t>
  </si>
  <si>
    <t>III. Partnerská města</t>
  </si>
  <si>
    <t>16</t>
  </si>
  <si>
    <t>Bazény:</t>
  </si>
  <si>
    <t>Dětské hřiště</t>
  </si>
  <si>
    <t>Provoz sportovních zařízení celkem</t>
  </si>
  <si>
    <t>SDH Nepomuk</t>
  </si>
  <si>
    <t>Převody vlastním rozpočtovým účtům</t>
  </si>
  <si>
    <t>Rozpočet</t>
  </si>
  <si>
    <t>Kapitálové výdaje</t>
  </si>
  <si>
    <t>Investice</t>
  </si>
  <si>
    <t>Běžné výdaje</t>
  </si>
  <si>
    <t>3314 - Činnosti knihovnické</t>
  </si>
  <si>
    <t>3612 - Bytové hospodářství</t>
  </si>
  <si>
    <t>3613 - Nebytové hospodářství</t>
  </si>
  <si>
    <t>3631 - Veřejné osvětlení</t>
  </si>
  <si>
    <t>3632 - Pohřebnictví</t>
  </si>
  <si>
    <t>Vytváření rezerv</t>
  </si>
  <si>
    <t>Převody účtů</t>
  </si>
  <si>
    <t xml:space="preserve">Výdaje celkem </t>
  </si>
  <si>
    <t>DPFO § 6</t>
  </si>
  <si>
    <t>DPFO § 7</t>
  </si>
  <si>
    <t>DPFO § 8</t>
  </si>
  <si>
    <t>DPPO</t>
  </si>
  <si>
    <t>DPPO za obec</t>
  </si>
  <si>
    <t>DPH</t>
  </si>
  <si>
    <t>Poplatek - komun.odpad</t>
  </si>
  <si>
    <t>Poplatek ze psů</t>
  </si>
  <si>
    <t>Poplatek za veř.prostranství</t>
  </si>
  <si>
    <t>Poplatek z hracích automatů</t>
  </si>
  <si>
    <t>Správní poplatky</t>
  </si>
  <si>
    <t>Ostatní daně a poplatky</t>
  </si>
  <si>
    <t>Příjmy z pronájmu pozemků</t>
  </si>
  <si>
    <t>Příjmy z nebytových prostor</t>
  </si>
  <si>
    <t>Příjmy z pronájmu - bytové h.</t>
  </si>
  <si>
    <t>Příjmy z lesního hospodářství</t>
  </si>
  <si>
    <t xml:space="preserve">Příjmy z knihovny </t>
  </si>
  <si>
    <t>Příjmy z kultury</t>
  </si>
  <si>
    <t>Příjmy ze hřbitova</t>
  </si>
  <si>
    <t>Pečovatelská služba</t>
  </si>
  <si>
    <t>Vlastní příjmy celkem</t>
  </si>
  <si>
    <t>Dotace celkem</t>
  </si>
  <si>
    <t>Příjmy celkem</t>
  </si>
  <si>
    <t>Financování - soc.fond</t>
  </si>
  <si>
    <t>Plán investic pro rok 2013</t>
  </si>
  <si>
    <t>v tis.Kč</t>
  </si>
  <si>
    <t>upr.12. rozp.op.</t>
  </si>
  <si>
    <t>Po změně</t>
  </si>
  <si>
    <t>Akce z loňských let</t>
  </si>
  <si>
    <t>Obytná zóna na Daníčkách - chodníky</t>
  </si>
  <si>
    <t>Zateplení pavlače - bytové hospodářství</t>
  </si>
  <si>
    <t>Rezerva</t>
  </si>
  <si>
    <t>Odvodnění areálu IZS</t>
  </si>
  <si>
    <t>Nákup pozemků</t>
  </si>
  <si>
    <t>Silnice Na Čiháku,  Luční</t>
  </si>
  <si>
    <t>Zateplení MŠ Nepomuk</t>
  </si>
  <si>
    <t>Parkoviště (u bytových zón, u ZŠ)</t>
  </si>
  <si>
    <t>Obytná zóna za elektrárenskými bytovkami</t>
  </si>
  <si>
    <t>Urnový háj</t>
  </si>
  <si>
    <t>Zateplení ZŠ</t>
  </si>
  <si>
    <t>Vrt HV3</t>
  </si>
  <si>
    <t xml:space="preserve">Dětské hřiště </t>
  </si>
  <si>
    <t>Kruhový objezd U Normy</t>
  </si>
  <si>
    <t>Kruhový objezd Pyramida</t>
  </si>
  <si>
    <t>Kruhový objezd U Sokolovny</t>
  </si>
  <si>
    <t>Zastřešení letní scény</t>
  </si>
  <si>
    <t>Komunikace  (propojení Swalmenská - Třebčická)</t>
  </si>
  <si>
    <t>Územní plán Města Nepomuk</t>
  </si>
  <si>
    <t>Autobusová zastávka - náměstí</t>
  </si>
  <si>
    <t>Dovětrání kotelen ulic Pivovarská a Za Kostelem</t>
  </si>
  <si>
    <t>Minihřiště Nepomuk 2012</t>
  </si>
  <si>
    <t>Liberátor B24</t>
  </si>
  <si>
    <t>Bezbariérové chodníky</t>
  </si>
  <si>
    <t>Kanalizace Školní</t>
  </si>
  <si>
    <t>Skatepark</t>
  </si>
  <si>
    <t xml:space="preserve">Veřejné osvětlení </t>
  </si>
  <si>
    <t>Metropolitní sít 2. etapa</t>
  </si>
  <si>
    <t>Nepomuk - dešťová kanalizace v ul.Swalmenská
 a A Berndorfa</t>
  </si>
  <si>
    <t>Prodloužení kanalizace u el. (Husova ul.)</t>
  </si>
  <si>
    <t>Okna Spořitelní</t>
  </si>
  <si>
    <t>Okna Rafanda</t>
  </si>
  <si>
    <t>Sportovní hala - koše basketball</t>
  </si>
  <si>
    <t>Kamerový systém</t>
  </si>
  <si>
    <t>Střecha hospodářská budova - zlatnictví</t>
  </si>
  <si>
    <t>Server HP</t>
  </si>
  <si>
    <t>Fenix</t>
  </si>
  <si>
    <t>Investiční půjčka Sokol Nepomuk</t>
  </si>
  <si>
    <t>Firewall</t>
  </si>
  <si>
    <t>Firewall 2</t>
  </si>
  <si>
    <t>Vodovod (propojení Swalmenská - Třebčická)</t>
  </si>
  <si>
    <t>Úprava povrchu chodníků - Náměstí u kostela</t>
  </si>
  <si>
    <t>Vrt HV 06,07</t>
  </si>
  <si>
    <t>Prodloužení kanalizace - Přesanická ul.</t>
  </si>
  <si>
    <t>upravené 12. rozpočtové opatření</t>
  </si>
  <si>
    <t>Položka 4111</t>
  </si>
  <si>
    <t>Parlamentní volby - ÚZ 98008</t>
  </si>
  <si>
    <t>Prezidentské volby - ÚZ 98008</t>
  </si>
  <si>
    <t>Položka 4112</t>
  </si>
  <si>
    <t>Všeobecná dotace</t>
  </si>
  <si>
    <t>Položka 4116</t>
  </si>
  <si>
    <t>Sociálně-právní ochrana dětí - ÚZ 13 001</t>
  </si>
  <si>
    <t>Pečovatelská služba - ÚZ 13 305</t>
  </si>
  <si>
    <t>Příspěvek na výkon pěstounské péče - ÚZ 13010</t>
  </si>
  <si>
    <t>Činnost odborného lesního hospodáře - ÚZ 29008</t>
  </si>
  <si>
    <t>Zvýšené náklady podle lesního zákona - ÚZ 29004</t>
  </si>
  <si>
    <t>Položka 4121</t>
  </si>
  <si>
    <t>Školství</t>
  </si>
  <si>
    <t>Položka 4122</t>
  </si>
  <si>
    <t>Knihovna</t>
  </si>
  <si>
    <t>Informační centrum</t>
  </si>
  <si>
    <t>Výchova lesních porostů</t>
  </si>
  <si>
    <t>Pečovatelská služba - dotace od Plzeňského kraje</t>
  </si>
  <si>
    <t>Bezpečné branky</t>
  </si>
  <si>
    <t>Neinvestiční dotace od Plzeňského kraje - JSDHO Nepomuk</t>
  </si>
  <si>
    <t>Položka 4123</t>
  </si>
  <si>
    <t>ROP Jihozápad - neinvestiční dotace na rekonstrukci 
místních komunikací - ÚZ 83005</t>
  </si>
  <si>
    <t>Položka 4129</t>
  </si>
  <si>
    <t>Projekt "Systémová podpora rozoje meziobecní spolupráce v ČR v rámci území správních obvodů obcí s rozšířenou působností</t>
  </si>
  <si>
    <t>Položka 4213</t>
  </si>
  <si>
    <t>Traktor - ÚZ 89501</t>
  </si>
  <si>
    <t>Traktor - ÚZ 89502</t>
  </si>
  <si>
    <t>Dotace SFŽP</t>
  </si>
  <si>
    <t>Položka 4216</t>
  </si>
  <si>
    <t>Dotace ERDF (Evropský fond pro regionální rozvoj)</t>
  </si>
  <si>
    <t>Položka 4222</t>
  </si>
  <si>
    <t>Metropolitní síť Nepomuk - 2.etapa</t>
  </si>
  <si>
    <t>Položka 4223</t>
  </si>
  <si>
    <t>ROP Jihozápad - investiční dotace na rekonstrukci 
místních komunikací - ÚZ 83505</t>
  </si>
  <si>
    <r>
      <rPr>
        <b/>
        <sz val="10"/>
        <rFont val="Arial"/>
        <family val="2"/>
        <charset val="238"/>
      </rPr>
      <t>Položka 4122:</t>
    </r>
    <r>
      <rPr>
        <sz val="10"/>
        <rFont val="Arial"/>
        <family val="2"/>
        <charset val="238"/>
      </rPr>
      <t xml:space="preserve">
99,5 tis. Kč - Neinvestiční dotace od Plzeňského kraje - JSDHO Nepomuk</t>
    </r>
  </si>
  <si>
    <r>
      <rPr>
        <b/>
        <sz val="10"/>
        <rFont val="Arial"/>
        <family val="2"/>
        <charset val="238"/>
      </rPr>
      <t>Položka 4129: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- 442,97 tis. Kč</t>
    </r>
    <r>
      <rPr>
        <sz val="10"/>
        <rFont val="Arial"/>
        <family val="2"/>
        <charset val="238"/>
      </rPr>
      <t xml:space="preserve"> - Projekt "Systémová podpora rozoje meziobecní spolupráce v ČR v rámci území správních obvodů obcí s rozšířenou působností. Změna účtování - patří do ostaních nedaňových příjmů</t>
    </r>
  </si>
  <si>
    <t>% plnění ke schválenému 
k rozpočtu</t>
  </si>
  <si>
    <t>% plnění k upravenému rozpočtu</t>
  </si>
  <si>
    <t>ok</t>
  </si>
  <si>
    <t>0000</t>
  </si>
  <si>
    <t>poplatek z hracích automatů</t>
  </si>
  <si>
    <t xml:space="preserve">                                             poplatek za lázeňský nebo rekr. pobyt</t>
  </si>
  <si>
    <t>poplatek ze vstupného</t>
  </si>
  <si>
    <t>poplatek z ubytovací kapacity</t>
  </si>
  <si>
    <t>ostatní odvody z vybr. činností a služeb jinde neuvedené</t>
  </si>
  <si>
    <t>1031</t>
  </si>
  <si>
    <t>3314</t>
  </si>
  <si>
    <t>3319</t>
  </si>
  <si>
    <t>příjmy z prodeje zboží</t>
  </si>
  <si>
    <t>3612</t>
  </si>
  <si>
    <t>3632</t>
  </si>
  <si>
    <t>4351</t>
  </si>
  <si>
    <t>6171</t>
  </si>
  <si>
    <t>Příjmy z úroků</t>
  </si>
  <si>
    <t>6310</t>
  </si>
  <si>
    <t>Přijaté nekapit.příspěvky, náhrady</t>
  </si>
  <si>
    <t>1014</t>
  </si>
  <si>
    <t>2141</t>
  </si>
  <si>
    <t>Vnitřní obchod - sankční platby přijaté od jiných subjektů</t>
  </si>
  <si>
    <t>2229</t>
  </si>
  <si>
    <t>Ostatní zál.v silnič.dopravě - sankční platby přijaté od jiných subjektů</t>
  </si>
  <si>
    <t>2310</t>
  </si>
  <si>
    <t>Pitná voda - příjmy z pronájmu ost. nemovitostí</t>
  </si>
  <si>
    <t>3322</t>
  </si>
  <si>
    <t>Zach. a obnova kult.pam. - sankční platby přijaté od jiných subjektů</t>
  </si>
  <si>
    <t>3412</t>
  </si>
  <si>
    <t>Sport. zař. v majetku obce - příjmy z poskyt.služ. a výr.</t>
  </si>
  <si>
    <t>3639</t>
  </si>
  <si>
    <t>Komun.služby a územní rozvoj - ost.příjmy z vlastní činnosti</t>
  </si>
  <si>
    <t>3719</t>
  </si>
  <si>
    <t>Ost.činn. k ochraně ovzduší - sankční platby přijaté od jiných subjektů</t>
  </si>
  <si>
    <t>3722</t>
  </si>
  <si>
    <t>Sběr a svoz komunálních odpadů - ost.nedaňové př. jinde nezařazené</t>
  </si>
  <si>
    <t>3729</t>
  </si>
  <si>
    <t>Ostatní nakládání s odpady - sankční platby přijaté od jiných subjektů</t>
  </si>
  <si>
    <t>3739</t>
  </si>
  <si>
    <t>Ost.ochr.půdy a spod.vody - sankční platby přijaté od jiných subjektů</t>
  </si>
  <si>
    <t>3749</t>
  </si>
  <si>
    <t>Ost.čin. k ochr.přír.a krajiny - sankční platby přijaté od jiných subjektů</t>
  </si>
  <si>
    <t>4399</t>
  </si>
  <si>
    <t>Ost.zál.soc.věcí a pol.zam.- ost.nedaňové př. jinde nezařazené</t>
  </si>
  <si>
    <t>5311</t>
  </si>
  <si>
    <t>Bezpečnost a veř.pořádek - sankční platby přijaté od jiných subjektů</t>
  </si>
  <si>
    <t>5511</t>
  </si>
  <si>
    <t xml:space="preserve">Požární ochrana profesionální část - příjmy z poskyt.služ. a výr. </t>
  </si>
  <si>
    <t>Činnost místní správy - příjmy z poskyt.služ. a výr.</t>
  </si>
  <si>
    <t>Činnost místní správy - sankční platby přijaté od jiných subjektů</t>
  </si>
  <si>
    <t>Čin. místní správy - ost.př.z fin.vypořádání z min.let od jin.veř.rozp.</t>
  </si>
  <si>
    <t>Činnost místní správy - přijaté neinvestiční dary</t>
  </si>
  <si>
    <t>Činnost místní správy - přijaté pojistné náhrady</t>
  </si>
  <si>
    <t>Činnost místní správy - přijaté nekapitálové příspěvky,náhrady</t>
  </si>
  <si>
    <t>Činnost místní správy - ost.nedaňové př. jinde nezařazené</t>
  </si>
  <si>
    <t>Činnost místní správy - příjmy z prodeje pozemků</t>
  </si>
  <si>
    <t>Činnost místní správy - příjmy z prodeje ost.nemovitostí</t>
  </si>
  <si>
    <t>Činnost místní správy - příjmy z prodeje ost.hmotného dlouhodob.maj.</t>
  </si>
  <si>
    <t>6399</t>
  </si>
  <si>
    <t>Ost.fin.operace - ost.př.z fin.vypořádání z min.let od jin.veř.rozp.</t>
  </si>
  <si>
    <t>6409</t>
  </si>
  <si>
    <t>Ost.činnosti jinde nezařazené - neidentifikované příjmy</t>
  </si>
  <si>
    <t>převody rozpočtových účtů</t>
  </si>
  <si>
    <t>11.     rozpočtové opatření</t>
  </si>
  <si>
    <t>současný stav</t>
  </si>
  <si>
    <t>pohyby</t>
  </si>
  <si>
    <r>
      <rPr>
        <sz val="7.5"/>
        <rFont val="Arial"/>
        <family val="2"/>
        <charset val="238"/>
      </rPr>
      <t>požadovaný</t>
    </r>
    <r>
      <rPr>
        <sz val="8"/>
        <rFont val="Arial"/>
        <family val="2"/>
        <charset val="238"/>
      </rPr>
      <t xml:space="preserve"> stav ke 
30.11.2013</t>
    </r>
  </si>
  <si>
    <t>vyčerpáno</t>
  </si>
  <si>
    <t>kolik zbývá ještě vyčerpat</t>
  </si>
  <si>
    <t>% čerpání
k současné-mu stavu</t>
  </si>
  <si>
    <t>042</t>
  </si>
  <si>
    <t>07</t>
  </si>
  <si>
    <t>možná  ok</t>
  </si>
  <si>
    <t>21</t>
  </si>
  <si>
    <t>39</t>
  </si>
  <si>
    <t>12</t>
  </si>
  <si>
    <r>
      <t xml:space="preserve">Komunikace </t>
    </r>
    <r>
      <rPr>
        <sz val="8"/>
        <rFont val="Arial"/>
        <family val="2"/>
        <charset val="238"/>
      </rPr>
      <t>(propojení Swalmenská - Třebčická)</t>
    </r>
  </si>
  <si>
    <t>rozdíl mezi FIN a tabulkou</t>
  </si>
  <si>
    <t>32</t>
  </si>
  <si>
    <t>41</t>
  </si>
  <si>
    <t xml:space="preserve"> </t>
  </si>
  <si>
    <t>04</t>
  </si>
  <si>
    <t>45</t>
  </si>
  <si>
    <t>Vrt HV 06, 07</t>
  </si>
  <si>
    <t>33</t>
  </si>
  <si>
    <t>23</t>
  </si>
  <si>
    <t>42</t>
  </si>
  <si>
    <t>Kanalizace Školní ul.</t>
  </si>
  <si>
    <t>Nepomuk - dešťová kanalizace v ul.Swalmen-
ská a A. Berndorfa</t>
  </si>
  <si>
    <t>15</t>
  </si>
  <si>
    <t>11</t>
  </si>
  <si>
    <t>06</t>
  </si>
  <si>
    <t>29</t>
  </si>
  <si>
    <t>20</t>
  </si>
  <si>
    <t>36</t>
  </si>
  <si>
    <t>08</t>
  </si>
  <si>
    <t>17</t>
  </si>
  <si>
    <t>00</t>
  </si>
  <si>
    <t>27</t>
  </si>
  <si>
    <t>Odvětrání kotelen ulic Pivovarská a Za Kostelem</t>
  </si>
  <si>
    <t>44</t>
  </si>
  <si>
    <t>43</t>
  </si>
  <si>
    <t>35</t>
  </si>
  <si>
    <t>46</t>
  </si>
  <si>
    <t>38</t>
  </si>
  <si>
    <t>041</t>
  </si>
  <si>
    <t>01</t>
  </si>
  <si>
    <t>24</t>
  </si>
  <si>
    <t>26</t>
  </si>
  <si>
    <t>28</t>
  </si>
  <si>
    <t>Fenix - zařízení</t>
  </si>
  <si>
    <t>4111 - Dotace</t>
  </si>
  <si>
    <t>4112 - Dotace</t>
  </si>
  <si>
    <t>4116 - Dotace</t>
  </si>
  <si>
    <t>4121 - Dotace</t>
  </si>
  <si>
    <t>4122 - Dotace</t>
  </si>
  <si>
    <t>4123 - Dotace</t>
  </si>
  <si>
    <t>4213 - Dotace</t>
  </si>
  <si>
    <t>4216 - Dotace</t>
  </si>
  <si>
    <t>4222 - Dotace</t>
  </si>
  <si>
    <t>4223 - Dotace</t>
  </si>
  <si>
    <t>Ostatní tělovýchovná činnost - splátky půjč.prostř. od obecně prosp.spol.</t>
  </si>
  <si>
    <t>3613</t>
  </si>
  <si>
    <t xml:space="preserve">Nebytové hospodářství -  příjmy z poskyt.služ. a výr. </t>
  </si>
  <si>
    <t>3900</t>
  </si>
  <si>
    <t>Činnost místní správy - ost.příjmy z vlastní činnosti</t>
  </si>
  <si>
    <t>Vývoj příjmů v roce 2014</t>
  </si>
  <si>
    <t>Schválený
 rozpočet na rok 2014</t>
  </si>
  <si>
    <t>příjmy
rok 2014</t>
  </si>
  <si>
    <t>příjmy
leden 2014</t>
  </si>
  <si>
    <t>příjmy
únor 2014</t>
  </si>
  <si>
    <t>příjmy
březen 2014</t>
  </si>
  <si>
    <t>příjmy
duben 2014</t>
  </si>
  <si>
    <t>příjmy
květen 2014</t>
  </si>
  <si>
    <t>příjmy
červen 2014</t>
  </si>
  <si>
    <t>příjmy
červenec 2014</t>
  </si>
  <si>
    <t>příjmy
srpen 2014</t>
  </si>
  <si>
    <t>příjmy
září 2014</t>
  </si>
  <si>
    <t>příjmy
říjen 2014</t>
  </si>
  <si>
    <t>příjmy
listopad 2014</t>
  </si>
  <si>
    <t>příjmy
prosinec 2014</t>
  </si>
  <si>
    <t>Rozpočet po změnách</t>
  </si>
  <si>
    <t>3.rozpočtové opatření (podrobně dle Fenixu)</t>
  </si>
  <si>
    <t>1.rozpočtové opatření (podrobně dle Fenixu)</t>
  </si>
  <si>
    <t>2.rozpočtové opatření (podrobně dle Fenixu)</t>
  </si>
  <si>
    <t>4.rozpočtové opatření (podrobně dle Fenixu)</t>
  </si>
  <si>
    <t>5.rozpočtové opatření (podrobně dle Fenixu)</t>
  </si>
  <si>
    <t>6.rozpočtové opatření (podrobně dle Fenixu)</t>
  </si>
  <si>
    <t>7.rozpočtové opatření (podrobně dle Fenixu)</t>
  </si>
  <si>
    <t>8.rozpočtové opatření (podrobně dle Fenixu)</t>
  </si>
  <si>
    <t>9.rozpočtové opatření (podrobně dle Fenixu)</t>
  </si>
  <si>
    <t>10.rozpočtové opatření (podrobně dle Fenixu)</t>
  </si>
  <si>
    <t>11.rozpočtové opatření (podrobně dle Fenixu)</t>
  </si>
  <si>
    <t>12.rozpočtové opatření (podrobně dle Fenixu)</t>
  </si>
  <si>
    <t>% plnění
k rozpočtu na rok 2014</t>
  </si>
  <si>
    <t>Ozdravování hospodářských zvířat, polních a speciálních plodin a zvláštní veterinární péče</t>
  </si>
  <si>
    <t>Finanční vypořádání minulých let</t>
  </si>
  <si>
    <t>Požární ochrana</t>
  </si>
  <si>
    <t>SU   AU    UZ   ORG   KA    §</t>
  </si>
  <si>
    <t>rozpočet 2013</t>
  </si>
  <si>
    <t>upravený rozpočet</t>
  </si>
  <si>
    <t>čerpání
 01-11/2013</t>
  </si>
  <si>
    <t>231 30                        09   1014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</si>
  <si>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Materiál</t>
    </r>
  </si>
  <si>
    <r>
      <rPr>
        <b/>
        <sz val="10"/>
        <color indexed="10"/>
        <rFont val="Arial"/>
        <family val="2"/>
        <charset val="238"/>
      </rPr>
      <t>5167</t>
    </r>
    <r>
      <rPr>
        <sz val="10"/>
        <rFont val="Arial"/>
        <family val="2"/>
        <charset val="238"/>
      </rPr>
      <t xml:space="preserve"> - Služby školení a vzdělávání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</si>
  <si>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</t>
    </r>
  </si>
  <si>
    <r>
      <t>Investiční výdaje</t>
    </r>
    <r>
      <rPr>
        <sz val="10"/>
        <rFont val="Arial"/>
        <family val="2"/>
        <charset val="238"/>
      </rPr>
      <t xml:space="preserve"> </t>
    </r>
  </si>
  <si>
    <t xml:space="preserve">Lesní hospodářství </t>
  </si>
  <si>
    <t>231 30                        09   1031</t>
  </si>
  <si>
    <r>
      <rPr>
        <b/>
        <sz val="10"/>
        <color indexed="10"/>
        <rFont val="Arial"/>
        <family val="2"/>
        <charset val="238"/>
      </rPr>
      <t>5011</t>
    </r>
    <r>
      <rPr>
        <sz val="10"/>
        <rFont val="Arial"/>
        <family val="2"/>
        <charset val="238"/>
      </rPr>
      <t xml:space="preserve"> - platy zaměstnanců</t>
    </r>
  </si>
  <si>
    <r>
      <rPr>
        <b/>
        <sz val="10"/>
        <color indexed="10"/>
        <rFont val="Arial"/>
        <family val="2"/>
        <charset val="238"/>
      </rPr>
      <t>5021</t>
    </r>
    <r>
      <rPr>
        <sz val="10"/>
        <rFont val="Arial"/>
        <family val="2"/>
        <charset val="238"/>
      </rPr>
      <t xml:space="preserve"> - Ostatní osobní výdaje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</si>
  <si>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soc.zabezpečení a přís. na st.polit.zam.</t>
    </r>
  </si>
  <si>
    <r>
      <rPr>
        <b/>
        <sz val="10"/>
        <color indexed="10"/>
        <rFont val="Arial"/>
        <family val="2"/>
        <charset val="238"/>
      </rPr>
      <t>5032</t>
    </r>
    <r>
      <rPr>
        <sz val="10"/>
        <rFont val="Arial"/>
        <family val="2"/>
        <charset val="238"/>
      </rPr>
      <t xml:space="preserve"> - Povinné pojistné na veřejné zdravotní pojištění</t>
    </r>
  </si>
  <si>
    <r>
      <rPr>
        <b/>
        <sz val="10"/>
        <color indexed="10"/>
        <rFont val="Arial"/>
        <family val="2"/>
        <charset val="238"/>
      </rPr>
      <t>5038</t>
    </r>
    <r>
      <rPr>
        <sz val="10"/>
        <rFont val="Arial"/>
        <family val="2"/>
        <charset val="238"/>
      </rPr>
      <t xml:space="preserve"> - Povinné pojistné na úrazové pojištění</t>
    </r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</si>
  <si>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oděv, obuv</t>
    </r>
  </si>
  <si>
    <r>
      <rPr>
        <b/>
        <sz val="10"/>
        <color indexed="10"/>
        <rFont val="Arial"/>
        <family val="2"/>
        <charset val="238"/>
      </rPr>
      <t>5137</t>
    </r>
    <r>
      <rPr>
        <sz val="10"/>
        <rFont val="Arial"/>
        <family val="2"/>
        <charset val="238"/>
      </rPr>
      <t xml:space="preserve"> - Drobný hmotný dlouhodobý majetek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</si>
  <si>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</t>
    </r>
  </si>
  <si>
    <r>
      <rPr>
        <b/>
        <sz val="10"/>
        <color indexed="10"/>
        <rFont val="Arial"/>
        <family val="2"/>
        <charset val="238"/>
      </rPr>
      <t>5156</t>
    </r>
    <r>
      <rPr>
        <sz val="10"/>
        <rFont val="Arial"/>
        <family val="2"/>
        <charset val="238"/>
      </rPr>
      <t xml:space="preserve"> - Pohonné hmoty a maziva</t>
    </r>
  </si>
  <si>
    <r>
      <rPr>
        <b/>
        <sz val="10"/>
        <color indexed="10"/>
        <rFont val="Arial"/>
        <family val="2"/>
        <charset val="238"/>
      </rPr>
      <t>5162</t>
    </r>
    <r>
      <rPr>
        <sz val="10"/>
        <rFont val="Arial"/>
        <family val="2"/>
        <charset val="238"/>
      </rPr>
      <t xml:space="preserve"> - Služby telekomunikací a radiokomunikací</t>
    </r>
  </si>
  <si>
    <r>
      <rPr>
        <b/>
        <sz val="10"/>
        <color indexed="10"/>
        <rFont val="Arial"/>
        <family val="2"/>
        <charset val="238"/>
      </rPr>
      <t>5163</t>
    </r>
    <r>
      <rPr>
        <sz val="10"/>
        <rFont val="Arial"/>
        <family val="2"/>
        <charset val="238"/>
      </rPr>
      <t xml:space="preserve"> - Služby peněžních ústavů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</si>
  <si>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</t>
    </r>
  </si>
  <si>
    <r>
      <rPr>
        <b/>
        <sz val="10"/>
        <color indexed="10"/>
        <rFont val="Arial"/>
        <family val="2"/>
        <charset val="238"/>
      </rPr>
      <t>5362</t>
    </r>
    <r>
      <rPr>
        <sz val="10"/>
        <rFont val="Arial"/>
        <family val="2"/>
        <charset val="238"/>
      </rPr>
      <t xml:space="preserve"> - Platby daní a poplatků státnímu rozpočtu</t>
    </r>
  </si>
  <si>
    <r>
      <rPr>
        <b/>
        <sz val="10"/>
        <color indexed="10"/>
        <rFont val="Arial"/>
        <family val="2"/>
        <charset val="238"/>
      </rPr>
      <t>5424</t>
    </r>
    <r>
      <rPr>
        <sz val="10"/>
        <rFont val="Arial"/>
        <family val="2"/>
        <charset val="238"/>
      </rPr>
      <t xml:space="preserve"> - Náhrady mezd v době nemoci </t>
    </r>
  </si>
  <si>
    <r>
      <rPr>
        <b/>
        <sz val="10"/>
        <color indexed="10"/>
        <rFont val="Arial"/>
        <family val="2"/>
        <charset val="238"/>
      </rPr>
      <t>5499</t>
    </r>
    <r>
      <rPr>
        <sz val="10"/>
        <rFont val="Arial"/>
        <family val="2"/>
        <charset val="238"/>
      </rPr>
      <t xml:space="preserve"> - Ostaní neinvestiční transfery obyvatelstvu</t>
    </r>
  </si>
  <si>
    <t xml:space="preserve">Státní správa lesů </t>
  </si>
  <si>
    <t>231 30                        09   1036</t>
  </si>
  <si>
    <t xml:space="preserve">Silniční doprava </t>
  </si>
  <si>
    <t>231 30                        10   2212</t>
  </si>
  <si>
    <r>
      <rPr>
        <b/>
        <sz val="10"/>
        <color indexed="10"/>
        <rFont val="Arial"/>
        <family val="2"/>
        <charset val="238"/>
      </rPr>
      <t>5137</t>
    </r>
    <r>
      <rPr>
        <sz val="10"/>
        <rFont val="Arial"/>
        <family val="2"/>
        <charset val="238"/>
      </rPr>
      <t xml:space="preserve"> - DHDM (dopravní značky)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</si>
  <si>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Materiál (posypové materiály)</t>
    </r>
  </si>
  <si>
    <r>
      <rPr>
        <b/>
        <sz val="10"/>
        <color indexed="10"/>
        <rFont val="Arial"/>
        <family val="2"/>
        <charset val="238"/>
      </rPr>
      <t>5154</t>
    </r>
    <r>
      <rPr>
        <sz val="10"/>
        <rFont val="Arial"/>
        <family val="2"/>
        <charset val="238"/>
      </rPr>
      <t xml:space="preserve"> - Elektrická energie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</si>
  <si>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(pasportizace komunikací,  
          úklid komunikací, letní vysečení podél komunikací)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</si>
  <si>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(opravy výtluků po zimě)</t>
    </r>
  </si>
  <si>
    <t xml:space="preserve">Dopravní obslužnost </t>
  </si>
  <si>
    <r>
      <rPr>
        <b/>
        <sz val="10"/>
        <color indexed="10"/>
        <rFont val="Arial"/>
        <family val="2"/>
        <charset val="238"/>
      </rPr>
      <t>5193</t>
    </r>
    <r>
      <rPr>
        <sz val="10"/>
        <rFont val="Arial"/>
        <family val="2"/>
        <charset val="238"/>
      </rPr>
      <t xml:space="preserve"> - Výdaje na dopravní územní obslužnost</t>
    </r>
  </si>
  <si>
    <t xml:space="preserve">Vodní hospodářství </t>
  </si>
  <si>
    <t>231 30                        02   2310</t>
  </si>
  <si>
    <r>
      <rPr>
        <b/>
        <sz val="10"/>
        <color indexed="10"/>
        <rFont val="Arial"/>
        <family val="2"/>
        <charset val="238"/>
      </rPr>
      <t>5151</t>
    </r>
    <r>
      <rPr>
        <sz val="10"/>
        <rFont val="Arial"/>
        <family val="2"/>
        <charset val="238"/>
      </rPr>
      <t xml:space="preserve"> - Studená voda</t>
    </r>
  </si>
  <si>
    <r>
      <t xml:space="preserve">5169 - </t>
    </r>
    <r>
      <rPr>
        <sz val="10"/>
        <rFont val="Arial"/>
        <family val="2"/>
        <charset val="238"/>
      </rPr>
      <t>Nákup ostatních služeb (posudky průtoků, různé 
          studie a drobné projekty, osazování vodoměrů, 
          vytyčování potrubí, navrtávací soupravy)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</si>
  <si>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(havárie na vodovodech, výměna 
          šoupat na vodovodu)</t>
    </r>
  </si>
  <si>
    <t>231 30                        02   2321</t>
  </si>
  <si>
    <r>
      <t xml:space="preserve">5169 - </t>
    </r>
    <r>
      <rPr>
        <sz val="10"/>
        <rFont val="Arial"/>
        <family val="2"/>
        <charset val="238"/>
      </rPr>
      <t>Nákup ostatních služeb (čištění kanalizace, posudky 
          průtoků, různé studie, vytyčovací práce a 
          drobné projekty)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</si>
  <si>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(havárie na kanalizacích, práce 
          protlakovým vozem, čištění kanalizace, prohlídka 
          kanalizace kamerovým systémem, opravy šachet, 
          opravy dešťové a splaškové kanalizace)</t>
    </r>
  </si>
  <si>
    <t xml:space="preserve">Mateřská škola </t>
  </si>
  <si>
    <t>231 30                        14   3111</t>
  </si>
  <si>
    <r>
      <rPr>
        <b/>
        <sz val="10"/>
        <color indexed="10"/>
        <rFont val="Arial"/>
        <family val="2"/>
        <charset val="238"/>
      </rPr>
      <t>5331</t>
    </r>
    <r>
      <rPr>
        <sz val="10"/>
        <rFont val="Arial"/>
        <family val="2"/>
        <charset val="238"/>
      </rPr>
      <t xml:space="preserve"> - Neinvestiční příspěvky zřízeným příspěvkovým 
          organizacím</t>
    </r>
  </si>
  <si>
    <t>Provozní náklady budou využity takto:</t>
  </si>
  <si>
    <t>Vodné, stočné</t>
  </si>
  <si>
    <t>Odpad + LAPOL</t>
  </si>
  <si>
    <t>Poplatky bance</t>
  </si>
  <si>
    <t>Pojistky budov, dětí</t>
  </si>
  <si>
    <t>Tisk</t>
  </si>
  <si>
    <t>Revize zařízení, kamna, komíny, elektr.has.</t>
  </si>
  <si>
    <t>Telefony, poštovné</t>
  </si>
  <si>
    <t>Úklidové a mycí prostředky, hygienické potřeby</t>
  </si>
  <si>
    <t>Služby účetní, informatika, kabelovky, čistící aj.</t>
  </si>
  <si>
    <t>Obnova vybavení, prádlo, nádobí</t>
  </si>
  <si>
    <t>Pomůcky na výuku, výtvarné potřeby</t>
  </si>
  <si>
    <t>Malování tříd</t>
  </si>
  <si>
    <t>Nákup softwaru</t>
  </si>
  <si>
    <t>Údržba - materiál, opravy v obou MŠ</t>
  </si>
  <si>
    <t>Kancelářské potřeby</t>
  </si>
  <si>
    <t xml:space="preserve">Základní škola </t>
  </si>
  <si>
    <t>231 30                        14   3113</t>
  </si>
  <si>
    <t>příspěvky na dětský den apod.</t>
  </si>
  <si>
    <t>Provozní náklady budou u ZŠ Nepomuk využity takto:</t>
  </si>
  <si>
    <t>Odpady jímky</t>
  </si>
  <si>
    <t>Bankovní poplatky</t>
  </si>
  <si>
    <t>Úklidové prostředky</t>
  </si>
  <si>
    <t>Materiál na opravy</t>
  </si>
  <si>
    <t>Provozní revize</t>
  </si>
  <si>
    <t>Pojistné</t>
  </si>
  <si>
    <t>kancelářské potřeby, materiál</t>
  </si>
  <si>
    <t>učební pomůcky</t>
  </si>
  <si>
    <t>drobné opravy a udržování - budova</t>
  </si>
  <si>
    <t>ostatní služby provoz, cestovné</t>
  </si>
  <si>
    <t xml:space="preserve">Základní umělecká škola </t>
  </si>
  <si>
    <t>231 30                        14   3231</t>
  </si>
  <si>
    <t>Hudební nástroje, učební pomůcky, nábytek, SW</t>
  </si>
  <si>
    <t>Odborná literatura</t>
  </si>
  <si>
    <t>Čistící a úklidové prostředky</t>
  </si>
  <si>
    <t>Spotřeba energie</t>
  </si>
  <si>
    <t>Poštovné, telefon</t>
  </si>
  <si>
    <t>Účetnictví</t>
  </si>
  <si>
    <t>Cestovné, silniční daň</t>
  </si>
  <si>
    <t>Opravy, ladění, servis</t>
  </si>
  <si>
    <t>Spotřební výukový materiál</t>
  </si>
  <si>
    <t>Nájemné ZŠ Nepomuk</t>
  </si>
  <si>
    <t>Nájemné ZŠ Kasejovice</t>
  </si>
  <si>
    <t>Nájemné ZŠ Žinkovy</t>
  </si>
  <si>
    <t>VÝDAJE CELKEM</t>
  </si>
  <si>
    <t>Příjmy za školné</t>
  </si>
  <si>
    <t>VÝDAJE PO ODPOČTU PŘÍJMŮ</t>
  </si>
  <si>
    <t xml:space="preserve">Činnosti knihovnické </t>
  </si>
  <si>
    <t>231 30                        16   3314</t>
  </si>
  <si>
    <r>
      <rPr>
        <b/>
        <sz val="10"/>
        <color indexed="10"/>
        <rFont val="Arial"/>
        <family val="2"/>
        <charset val="238"/>
      </rPr>
      <t>5011</t>
    </r>
    <r>
      <rPr>
        <sz val="10"/>
        <rFont val="Arial"/>
        <family val="2"/>
        <charset val="238"/>
      </rPr>
      <t xml:space="preserve"> - Platy zaměstnanců v pracovním poměru</t>
    </r>
  </si>
  <si>
    <r>
      <rPr>
        <b/>
        <sz val="10"/>
        <color indexed="10"/>
        <rFont val="Arial"/>
        <family val="2"/>
        <charset val="238"/>
      </rPr>
      <t>5136</t>
    </r>
    <r>
      <rPr>
        <sz val="10"/>
        <rFont val="Arial"/>
        <family val="2"/>
        <charset val="238"/>
      </rPr>
      <t xml:space="preserve"> - Knihy, učební pomůcky a tisk</t>
    </r>
  </si>
  <si>
    <r>
      <rPr>
        <b/>
        <sz val="10"/>
        <color indexed="10"/>
        <rFont val="Arial"/>
        <family val="2"/>
        <charset val="238"/>
      </rPr>
      <t>5161</t>
    </r>
    <r>
      <rPr>
        <sz val="10"/>
        <rFont val="Arial"/>
        <family val="2"/>
        <charset val="238"/>
      </rPr>
      <t xml:space="preserve"> - Služby pošt</t>
    </r>
  </si>
  <si>
    <r>
      <rPr>
        <b/>
        <sz val="10"/>
        <color indexed="10"/>
        <rFont val="Arial"/>
        <family val="2"/>
        <charset val="238"/>
      </rPr>
      <t xml:space="preserve">5162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Služby telekomuniakcí a radiokomunikací</t>
    </r>
  </si>
  <si>
    <r>
      <rPr>
        <b/>
        <sz val="10"/>
        <color indexed="10"/>
        <rFont val="Arial"/>
        <family val="2"/>
        <charset val="238"/>
      </rPr>
      <t xml:space="preserve">5167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Služby školení a vzdělávání</t>
    </r>
  </si>
  <si>
    <r>
      <rPr>
        <b/>
        <sz val="10"/>
        <color indexed="10"/>
        <rFont val="Arial"/>
        <family val="2"/>
        <charset val="238"/>
      </rPr>
      <t>5172</t>
    </r>
    <r>
      <rPr>
        <sz val="10"/>
        <rFont val="Arial"/>
        <family val="2"/>
        <charset val="238"/>
      </rPr>
      <t xml:space="preserve"> - Programové vybavení</t>
    </r>
  </si>
  <si>
    <r>
      <rPr>
        <b/>
        <sz val="10"/>
        <color indexed="10"/>
        <rFont val="Arial"/>
        <family val="2"/>
        <charset val="238"/>
      </rPr>
      <t>5173</t>
    </r>
    <r>
      <rPr>
        <sz val="10"/>
        <rFont val="Arial"/>
        <family val="2"/>
        <charset val="238"/>
      </rPr>
      <t xml:space="preserve"> - Cestovné (tuzemské i zahraniční)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</si>
  <si>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podobným org.</t>
    </r>
  </si>
  <si>
    <r>
      <rPr>
        <b/>
        <sz val="10"/>
        <color indexed="10"/>
        <rFont val="Arial"/>
        <family val="2"/>
        <charset val="238"/>
      </rPr>
      <t>5424</t>
    </r>
    <r>
      <rPr>
        <sz val="10"/>
        <rFont val="Arial"/>
        <family val="2"/>
        <charset val="238"/>
      </rPr>
      <t xml:space="preserve"> - Náhrady mezd v době nemoci</t>
    </r>
  </si>
  <si>
    <t xml:space="preserve">Kultura </t>
  </si>
  <si>
    <t>231 30                        16   3319</t>
  </si>
  <si>
    <r>
      <rPr>
        <b/>
        <sz val="10"/>
        <color indexed="10"/>
        <rFont val="Arial"/>
        <family val="2"/>
        <charset val="238"/>
      </rPr>
      <t>5133</t>
    </r>
    <r>
      <rPr>
        <sz val="10"/>
        <rFont val="Arial"/>
        <family val="2"/>
        <charset val="238"/>
      </rPr>
      <t xml:space="preserve"> - Léky a zdravotnický materiál</t>
    </r>
  </si>
  <si>
    <r>
      <rPr>
        <b/>
        <sz val="10"/>
        <color indexed="10"/>
        <rFont val="Arial"/>
        <family val="2"/>
        <charset val="238"/>
      </rPr>
      <t>5138</t>
    </r>
    <r>
      <rPr>
        <sz val="10"/>
        <rFont val="Arial"/>
        <family val="2"/>
        <charset val="238"/>
      </rPr>
      <t xml:space="preserve"> - Nákup zboží (za účelem dalšího prodeje)</t>
    </r>
  </si>
  <si>
    <r>
      <rPr>
        <b/>
        <sz val="10"/>
        <color indexed="10"/>
        <rFont val="Arial"/>
        <family val="2"/>
        <charset val="238"/>
      </rPr>
      <t>5162</t>
    </r>
    <r>
      <rPr>
        <sz val="10"/>
        <rFont val="Arial"/>
        <family val="2"/>
        <charset val="238"/>
      </rPr>
      <t xml:space="preserve"> - Služby telekomuniakcí a radiokomunikací</t>
    </r>
  </si>
  <si>
    <r>
      <rPr>
        <b/>
        <sz val="10"/>
        <color indexed="10"/>
        <rFont val="Arial"/>
        <family val="2"/>
        <charset val="238"/>
      </rPr>
      <t>5163</t>
    </r>
    <r>
      <rPr>
        <sz val="10"/>
        <rFont val="Arial"/>
        <family val="2"/>
        <charset val="238"/>
      </rPr>
      <t xml:space="preserve"> - Služby peněžních ústavů (včetně komerčního pojištění)</t>
    </r>
  </si>
  <si>
    <r>
      <rPr>
        <b/>
        <sz val="10"/>
        <color indexed="10"/>
        <rFont val="Arial"/>
        <family val="2"/>
        <charset val="238"/>
      </rPr>
      <t>5164</t>
    </r>
    <r>
      <rPr>
        <sz val="10"/>
        <rFont val="Arial"/>
        <family val="2"/>
        <charset val="238"/>
      </rPr>
      <t xml:space="preserve"> - Nájemné</t>
    </r>
  </si>
  <si>
    <r>
      <rPr>
        <b/>
        <sz val="10"/>
        <color indexed="10"/>
        <rFont val="Arial"/>
        <family val="2"/>
        <charset val="238"/>
      </rPr>
      <t>5175</t>
    </r>
    <r>
      <rPr>
        <sz val="10"/>
        <rFont val="Arial"/>
        <family val="2"/>
        <charset val="238"/>
      </rPr>
      <t xml:space="preserve"> - Pohoštění</t>
    </r>
  </si>
  <si>
    <r>
      <rPr>
        <b/>
        <sz val="10"/>
        <color indexed="10"/>
        <rFont val="Arial"/>
        <family val="2"/>
        <charset val="238"/>
      </rPr>
      <t>5177</t>
    </r>
    <r>
      <rPr>
        <sz val="10"/>
        <rFont val="Arial"/>
        <family val="2"/>
        <charset val="238"/>
      </rPr>
      <t xml:space="preserve"> - Nákup uměleckých předmětů</t>
    </r>
  </si>
  <si>
    <r>
      <rPr>
        <b/>
        <sz val="10"/>
        <color indexed="10"/>
        <rFont val="Arial"/>
        <family val="2"/>
        <charset val="238"/>
      </rPr>
      <t>5182</t>
    </r>
    <r>
      <rPr>
        <sz val="10"/>
        <rFont val="Arial"/>
        <family val="2"/>
        <charset val="238"/>
      </rPr>
      <t xml:space="preserve"> - Poskytnuté zálohy vl.pokladně</t>
    </r>
  </si>
  <si>
    <r>
      <rPr>
        <b/>
        <sz val="10"/>
        <color indexed="10"/>
        <rFont val="Arial"/>
        <family val="2"/>
        <charset val="238"/>
      </rPr>
      <t>5194</t>
    </r>
    <r>
      <rPr>
        <sz val="10"/>
        <rFont val="Arial"/>
        <family val="2"/>
        <charset val="238"/>
      </rPr>
      <t xml:space="preserve"> - Věcné dary</t>
    </r>
  </si>
  <si>
    <t>231 30              9999   16   3319</t>
  </si>
  <si>
    <r>
      <rPr>
        <b/>
        <sz val="10"/>
        <color indexed="10"/>
        <rFont val="Arial"/>
        <family val="2"/>
        <charset val="238"/>
      </rPr>
      <t>5153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Plyn  - </t>
    </r>
    <r>
      <rPr>
        <sz val="10"/>
        <color indexed="12"/>
        <rFont val="Arial"/>
        <family val="2"/>
        <charset val="238"/>
      </rPr>
      <t>zde se plyn nakupuje ještě jako plyn</t>
    </r>
  </si>
  <si>
    <t>231 30              0012   16   3319</t>
  </si>
  <si>
    <t>IV. 870 let Nepomuka</t>
  </si>
  <si>
    <t>V. Propagace Nepomuka</t>
  </si>
  <si>
    <t>VI. Pivní slavnosti</t>
  </si>
  <si>
    <t xml:space="preserve">Neinvestiční půjčka církvím </t>
  </si>
  <si>
    <t>231 30                        16   3330</t>
  </si>
  <si>
    <r>
      <rPr>
        <b/>
        <sz val="10"/>
        <color indexed="10"/>
        <rFont val="Arial"/>
        <family val="2"/>
        <charset val="238"/>
      </rPr>
      <t>5223</t>
    </r>
    <r>
      <rPr>
        <sz val="10"/>
        <rFont val="Arial"/>
        <family val="2"/>
        <charset val="238"/>
      </rPr>
      <t xml:space="preserve"> - Neinvestiční transfery církvím a náboženským 
          společnostem</t>
    </r>
  </si>
  <si>
    <t xml:space="preserve">Provoz sportovních zařízení </t>
  </si>
  <si>
    <t>231 30                        39   3412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</si>
  <si>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(chlory)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</si>
  <si>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(zkoušky vody, udržovací  
          práce na zařízení, bazénový servis)</t>
    </r>
  </si>
  <si>
    <t>231 30                        39   3421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</si>
  <si>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(rozšířovní hřiště, odborná 
          prohlídka děských hřišť)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</si>
  <si>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(údržba dětského hřiště)</t>
    </r>
  </si>
  <si>
    <t xml:space="preserve">Příspěvek zájmovým organizacím </t>
  </si>
  <si>
    <t>231 30                        39   3419</t>
  </si>
  <si>
    <t xml:space="preserve">Bytové hospodářství </t>
  </si>
  <si>
    <t>231 30              1000   39   3612</t>
  </si>
  <si>
    <r>
      <rPr>
        <b/>
        <sz val="10"/>
        <color indexed="10"/>
        <rFont val="Arial"/>
        <family val="2"/>
        <charset val="238"/>
      </rPr>
      <t>5152</t>
    </r>
    <r>
      <rPr>
        <sz val="10"/>
        <rFont val="Arial"/>
        <family val="2"/>
        <charset val="238"/>
      </rPr>
      <t xml:space="preserve"> - Teplo</t>
    </r>
  </si>
  <si>
    <r>
      <rPr>
        <b/>
        <sz val="10"/>
        <color indexed="10"/>
        <rFont val="Arial"/>
        <family val="2"/>
        <charset val="238"/>
      </rPr>
      <t>5154</t>
    </r>
    <r>
      <rPr>
        <sz val="10"/>
        <rFont val="Arial"/>
        <family val="2"/>
        <charset val="238"/>
      </rPr>
      <t xml:space="preserve"> - Elektrická energie (společné prostory)</t>
    </r>
  </si>
  <si>
    <r>
      <rPr>
        <b/>
        <sz val="10"/>
        <color indexed="10"/>
        <rFont val="Arial"/>
        <family val="2"/>
        <charset val="238"/>
      </rPr>
      <t>5166</t>
    </r>
    <r>
      <rPr>
        <sz val="10"/>
        <rFont val="Arial"/>
        <family val="2"/>
        <charset val="238"/>
      </rPr>
      <t xml:space="preserve"> - Konzultační služby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</si>
  <si>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(revize, kontroly, prohlídky)</t>
    </r>
  </si>
  <si>
    <t xml:space="preserve">Nebytové hospodářství </t>
  </si>
  <si>
    <t>231 30                        39   3613</t>
  </si>
  <si>
    <t>Veřejné osvětlení</t>
  </si>
  <si>
    <t>231 30                        39   3631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</si>
  <si>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 (drobné projekty…) </t>
    </r>
  </si>
  <si>
    <t xml:space="preserve">Pohřebnictví </t>
  </si>
  <si>
    <t>231 30                        39   3632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</si>
  <si>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(dle smlouvy o udržování hřbitova)</t>
    </r>
  </si>
  <si>
    <t xml:space="preserve">Svoz komunálních odpadů </t>
  </si>
  <si>
    <t>231 30                        02   3722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</si>
  <si>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</t>
    </r>
  </si>
  <si>
    <t xml:space="preserve">Místní hospodářství </t>
  </si>
  <si>
    <t>231 30                        39   3745</t>
  </si>
  <si>
    <r>
      <rPr>
        <b/>
        <sz val="10"/>
        <color indexed="10"/>
        <rFont val="Arial"/>
        <family val="2"/>
        <charset val="238"/>
      </rPr>
      <t>5131</t>
    </r>
    <r>
      <rPr>
        <sz val="10"/>
        <rFont val="Arial"/>
        <family val="2"/>
        <charset val="238"/>
      </rPr>
      <t xml:space="preserve"> - Potraviny</t>
    </r>
  </si>
  <si>
    <r>
      <rPr>
        <sz val="10"/>
        <color theme="0"/>
        <rFont val="Arial"/>
        <family val="2"/>
        <charset val="238"/>
      </rPr>
      <t>……………….</t>
    </r>
    <r>
      <rPr>
        <sz val="10"/>
        <rFont val="Arial"/>
        <family val="2"/>
        <charset val="238"/>
      </rPr>
      <t>3937</t>
    </r>
  </si>
  <si>
    <r>
      <rPr>
        <b/>
        <sz val="10"/>
        <color rgb="FFFF000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- </t>
    </r>
    <r>
      <rPr>
        <b/>
        <sz val="10"/>
        <rFont val="Arial"/>
        <family val="2"/>
        <charset val="238"/>
      </rPr>
      <t>ošetřování zeleně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</si>
  <si>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(sečení trávy, praní a čištění 
          oděvů)</t>
    </r>
  </si>
  <si>
    <r>
      <rPr>
        <b/>
        <sz val="10"/>
        <color rgb="FFFF000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- </t>
    </r>
    <r>
      <rPr>
        <b/>
        <sz val="10"/>
        <rFont val="Arial"/>
        <family val="2"/>
        <charset val="238"/>
      </rPr>
      <t>ošetřování zeleně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</si>
  <si>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(opravy a udržování strojů a 
          zařízení - traktor, avie)</t>
    </r>
  </si>
  <si>
    <t xml:space="preserve">Činnost pečovatelské služby </t>
  </si>
  <si>
    <t>231 30                        28   4351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</si>
  <si>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(obědy leden, úklid, nákupy, 
          praní prádla, pochůzky, léky, mytí)</t>
    </r>
  </si>
  <si>
    <r>
      <rPr>
        <b/>
        <sz val="10"/>
        <color indexed="10"/>
        <rFont val="Arial"/>
        <family val="2"/>
        <charset val="238"/>
      </rPr>
      <t>5192</t>
    </r>
    <r>
      <rPr>
        <sz val="10"/>
        <rFont val="Arial"/>
        <family val="2"/>
        <charset val="238"/>
      </rPr>
      <t xml:space="preserve"> - Poskytnuté neinvestiční příspěvky a náhrady</t>
    </r>
  </si>
  <si>
    <t xml:space="preserve">Pěstounská péče </t>
  </si>
  <si>
    <r>
      <t xml:space="preserve">231 30     </t>
    </r>
    <r>
      <rPr>
        <sz val="8"/>
        <rFont val="Arial"/>
        <family val="2"/>
        <charset val="238"/>
      </rPr>
      <t>13010</t>
    </r>
    <r>
      <rPr>
        <sz val="10"/>
        <rFont val="Arial"/>
        <family val="2"/>
        <charset val="238"/>
      </rPr>
      <t xml:space="preserve">           28   4339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</si>
  <si>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soc.zabezp.a přís. na st.polit.zam.</t>
    </r>
  </si>
  <si>
    <t xml:space="preserve">Obrana a krizové řízení </t>
  </si>
  <si>
    <t>231 30                        19   5212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</si>
  <si>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(Odvodní řízení, aj.)</t>
    </r>
  </si>
  <si>
    <t>231 30              0227   19   5512</t>
  </si>
  <si>
    <t>SDH Dvorec</t>
  </si>
  <si>
    <t>231 30              0228   19   5512</t>
  </si>
  <si>
    <t>Požární ochrana celkem</t>
  </si>
  <si>
    <t xml:space="preserve">Zastupitelstvo města </t>
  </si>
  <si>
    <t>231 30                        19   6112</t>
  </si>
  <si>
    <r>
      <rPr>
        <b/>
        <sz val="10"/>
        <color indexed="10"/>
        <rFont val="Arial"/>
        <family val="2"/>
        <charset val="238"/>
      </rPr>
      <t>5023</t>
    </r>
    <r>
      <rPr>
        <sz val="10"/>
        <rFont val="Arial"/>
        <family val="2"/>
        <charset val="238"/>
      </rPr>
      <t xml:space="preserve"> - Odměny členů zastupitelstva obcí a krajů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</si>
  <si>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Povinné pojistné na sociální zabezp.a přísp.na st.pol.zam.</t>
    </r>
  </si>
  <si>
    <r>
      <rPr>
        <b/>
        <sz val="10"/>
        <color indexed="10"/>
        <rFont val="Arial"/>
        <family val="2"/>
        <charset val="238"/>
      </rPr>
      <t>5032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Povinné pojistné na veřejné zdravotní pojištění</t>
    </r>
  </si>
  <si>
    <r>
      <rPr>
        <b/>
        <sz val="10"/>
        <color indexed="10"/>
        <rFont val="Arial"/>
        <family val="2"/>
        <charset val="238"/>
      </rPr>
      <t>5019</t>
    </r>
    <r>
      <rPr>
        <sz val="10"/>
        <rFont val="Arial"/>
        <family val="2"/>
        <charset val="238"/>
      </rPr>
      <t xml:space="preserve"> - Ostatní platy </t>
    </r>
  </si>
  <si>
    <t xml:space="preserve">Činnost místní správy </t>
  </si>
  <si>
    <t>231 30                        19   6171</t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</si>
  <si>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oděv, obuv (uklízečky)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</si>
  <si>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(kancelářské 
          potřeby, drobný ostatní materiál, např. žárovka…)</t>
    </r>
  </si>
  <si>
    <r>
      <rPr>
        <b/>
        <sz val="10"/>
        <color indexed="10"/>
        <rFont val="Arial"/>
        <family val="2"/>
        <charset val="238"/>
      </rPr>
      <t>5164</t>
    </r>
    <r>
      <rPr>
        <sz val="10"/>
        <rFont val="Arial"/>
        <family val="2"/>
        <charset val="238"/>
      </rPr>
      <t xml:space="preserve"> - Nájemné (schránka na poště, úřední deska na obchoďáku,…)</t>
    </r>
  </si>
  <si>
    <r>
      <rPr>
        <b/>
        <sz val="10"/>
        <color indexed="10"/>
        <rFont val="Arial"/>
        <family val="2"/>
        <charset val="238"/>
      </rPr>
      <t>5166</t>
    </r>
    <r>
      <rPr>
        <sz val="10"/>
        <rFont val="Arial"/>
        <family val="2"/>
        <charset val="238"/>
      </rPr>
      <t xml:space="preserve"> - Konzultační, poradenské a právní služby (exekutoři, 
          daňový poradce)</t>
    </r>
  </si>
  <si>
    <r>
      <rPr>
        <b/>
        <sz val="10"/>
        <color indexed="10"/>
        <rFont val="Arial"/>
        <family val="2"/>
        <charset val="238"/>
      </rPr>
      <t>5173</t>
    </r>
    <r>
      <rPr>
        <sz val="10"/>
        <rFont val="Arial"/>
        <family val="2"/>
        <charset val="238"/>
      </rPr>
      <t xml:space="preserve"> - Cestovné</t>
    </r>
  </si>
  <si>
    <r>
      <rPr>
        <b/>
        <sz val="10"/>
        <color indexed="10"/>
        <rFont val="Arial"/>
        <family val="2"/>
        <charset val="238"/>
      </rPr>
      <t>5179</t>
    </r>
    <r>
      <rPr>
        <sz val="10"/>
        <rFont val="Arial"/>
        <family val="2"/>
        <charset val="238"/>
      </rPr>
      <t xml:space="preserve"> - Ostatní nákupy jinde nezařazené</t>
    </r>
  </si>
  <si>
    <r>
      <rPr>
        <b/>
        <sz val="10"/>
        <color indexed="10"/>
        <rFont val="Arial"/>
        <family val="2"/>
        <charset val="238"/>
      </rPr>
      <t>5182</t>
    </r>
    <r>
      <rPr>
        <sz val="10"/>
        <rFont val="Arial"/>
        <family val="2"/>
        <charset val="238"/>
      </rPr>
      <t xml:space="preserve"> - Poskytnuté zálohy vlastní pokladně</t>
    </r>
  </si>
  <si>
    <r>
      <rPr>
        <b/>
        <sz val="10"/>
        <color indexed="10"/>
        <rFont val="Arial"/>
        <family val="2"/>
        <charset val="238"/>
      </rPr>
      <t>5365</t>
    </r>
    <r>
      <rPr>
        <sz val="10"/>
        <rFont val="Arial"/>
        <family val="2"/>
        <charset val="238"/>
      </rPr>
      <t xml:space="preserve"> - Platby daní a poplatků krajům, obcím a státním fondům</t>
    </r>
  </si>
  <si>
    <r>
      <rPr>
        <b/>
        <sz val="10"/>
        <color indexed="10"/>
        <rFont val="Arial"/>
        <family val="2"/>
        <charset val="238"/>
      </rPr>
      <t>5909</t>
    </r>
    <r>
      <rPr>
        <sz val="10"/>
        <rFont val="Arial"/>
        <family val="2"/>
        <charset val="238"/>
      </rPr>
      <t xml:space="preserve"> - Ostaní neinvestiční výdaje jinde nezařazené</t>
    </r>
  </si>
  <si>
    <t>231 30                        19   6310</t>
  </si>
  <si>
    <t>231 30                        19   6399</t>
  </si>
  <si>
    <t>místní správa celkem</t>
  </si>
  <si>
    <t xml:space="preserve">Příděl sociálního fondu </t>
  </si>
  <si>
    <t>231 10                        19   6330</t>
  </si>
  <si>
    <r>
      <rPr>
        <b/>
        <sz val="10"/>
        <color indexed="10"/>
        <rFont val="Arial"/>
        <family val="2"/>
        <charset val="238"/>
      </rPr>
      <t>5342</t>
    </r>
    <r>
      <rPr>
        <sz val="10"/>
        <rFont val="Arial"/>
        <family val="2"/>
        <charset val="238"/>
      </rPr>
      <t xml:space="preserve"> - Převody FKSP a SF obcí a krajů</t>
    </r>
  </si>
  <si>
    <r>
      <rPr>
        <b/>
        <sz val="10"/>
        <color indexed="10"/>
        <rFont val="Arial"/>
        <family val="2"/>
        <charset val="238"/>
      </rPr>
      <t>5345</t>
    </r>
    <r>
      <rPr>
        <sz val="10"/>
        <rFont val="Arial"/>
        <family val="2"/>
        <charset val="238"/>
      </rPr>
      <t xml:space="preserve"> - Převody vlastním rozpočtovým účtům</t>
    </r>
  </si>
  <si>
    <t xml:space="preserve">Příspěvek do mikroregionu </t>
  </si>
  <si>
    <t>231 30                        19   6409</t>
  </si>
  <si>
    <r>
      <rPr>
        <b/>
        <sz val="10"/>
        <color indexed="10"/>
        <rFont val="Arial"/>
        <family val="2"/>
        <charset val="238"/>
      </rPr>
      <t>5329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Ostatní neinvestiční transfery veřejným rozpočtům územní 
             úrovně</t>
    </r>
  </si>
  <si>
    <t xml:space="preserve">Vytváření rezerv </t>
  </si>
  <si>
    <t>231 30                        09   1099</t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</si>
  <si>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(lesní, rybářská a myslivecká 
          stráž)</t>
    </r>
  </si>
  <si>
    <t>231 30                        02   2399</t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</si>
  <si>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(rezerva na likvidaci katastrof)</t>
    </r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</si>
  <si>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(rezerva na krizové stavy)</t>
    </r>
  </si>
  <si>
    <t>231 30                        19   6402</t>
  </si>
  <si>
    <r>
      <rPr>
        <b/>
        <sz val="10"/>
        <color indexed="10"/>
        <rFont val="Arial"/>
        <family val="2"/>
        <charset val="238"/>
      </rPr>
      <t>5364</t>
    </r>
    <r>
      <rPr>
        <sz val="10"/>
        <rFont val="Arial"/>
        <family val="2"/>
        <charset val="238"/>
      </rPr>
      <t xml:space="preserve"> - Výdaje fin.vypořádání minulých let mezi krajem a 
          obcemi</t>
    </r>
  </si>
  <si>
    <t xml:space="preserve">Upravený rozpočet včetně investic a 
včetně 200 000 000 </t>
  </si>
  <si>
    <t>výdaje
 01-03/2014</t>
  </si>
  <si>
    <t>rozpočet 2014</t>
  </si>
  <si>
    <t>výdaje
 01-04/2014</t>
  </si>
  <si>
    <t>výdaje
 01-05/2014</t>
  </si>
  <si>
    <t>výdaje
 01-06/2014</t>
  </si>
  <si>
    <t>výdaje
 01-07/2014</t>
  </si>
  <si>
    <t>výdaje
 01-08/2014</t>
  </si>
  <si>
    <t>výdaje
 01-09/2014</t>
  </si>
  <si>
    <t>výdaje
 01-10/2014</t>
  </si>
  <si>
    <t>výdaje
 01-11/2014</t>
  </si>
  <si>
    <t>výdaje
 01-12/2014</t>
  </si>
  <si>
    <t xml:space="preserve"> DUBEN
 2014</t>
  </si>
  <si>
    <t>KVĚTEN
2014</t>
  </si>
  <si>
    <t>ČERVEN
2014</t>
  </si>
  <si>
    <t>ČERVENEC
2014</t>
  </si>
  <si>
    <t>SRPEN
2014</t>
  </si>
  <si>
    <t>ZÁŘÍ
2014</t>
  </si>
  <si>
    <t>ŘÍJEN
2014</t>
  </si>
  <si>
    <t>LISTOPAD
2014</t>
  </si>
  <si>
    <t>PROSINEC
2014</t>
  </si>
  <si>
    <t>VÝDAJE 
 rok 2014</t>
  </si>
  <si>
    <t>Schválený Rozpočet na rok 2014 včetně investic</t>
  </si>
  <si>
    <t>výdaje včetně investic za rok 2014</t>
  </si>
  <si>
    <r>
      <rPr>
        <b/>
        <sz val="10"/>
        <color indexed="10"/>
        <rFont val="Arial"/>
        <family val="2"/>
        <charset val="238"/>
      </rPr>
      <t>5321</t>
    </r>
    <r>
      <rPr>
        <sz val="10"/>
        <rFont val="Arial"/>
        <family val="2"/>
        <charset val="238"/>
      </rPr>
      <t xml:space="preserve"> - Neinvestiční transfery obcím</t>
    </r>
  </si>
  <si>
    <t>vybavení tříd - lavice apod.</t>
  </si>
  <si>
    <t>PC pomůcky, IT servis</t>
  </si>
  <si>
    <t>závodní stravování</t>
  </si>
  <si>
    <r>
      <rPr>
        <b/>
        <sz val="10"/>
        <color indexed="10"/>
        <rFont val="Arial"/>
        <family val="2"/>
        <charset val="238"/>
      </rPr>
      <t>5168</t>
    </r>
    <r>
      <rPr>
        <sz val="10"/>
        <rFont val="Arial"/>
        <family val="2"/>
        <charset val="238"/>
      </rPr>
      <t xml:space="preserve"> - Zpracování dat a služby související s informačními
          a komunikačními technologiemi</t>
    </r>
  </si>
  <si>
    <t xml:space="preserve">Ostatní činnosti související se službami pro obyvatelstvo (projekt Systémová podpora rozvoje meziobecní spolupráce) </t>
  </si>
  <si>
    <r>
      <t xml:space="preserve">231 30     </t>
    </r>
    <r>
      <rPr>
        <sz val="8"/>
        <rFont val="Arial"/>
        <family val="2"/>
        <charset val="238"/>
      </rPr>
      <t xml:space="preserve">1811 </t>
    </r>
    <r>
      <rPr>
        <sz val="10"/>
        <rFont val="Arial"/>
        <family val="2"/>
        <charset val="238"/>
      </rPr>
      <t xml:space="preserve">           19   3900</t>
    </r>
  </si>
  <si>
    <t>231 30              0870   16   3319</t>
  </si>
  <si>
    <t>231 30              0021   16   3319</t>
  </si>
  <si>
    <t>231 30              0022   16   3319</t>
  </si>
  <si>
    <t>231 30             5959   19   5212</t>
  </si>
  <si>
    <t xml:space="preserve">Volby do Evropského Parlamentu 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</si>
  <si>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</si>
  <si>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  podobným organizacím  </t>
    </r>
    <r>
      <rPr>
        <b/>
        <sz val="10"/>
        <rFont val="Arial"/>
        <family val="2"/>
        <charset val="238"/>
      </rPr>
      <t>(NE nepomucké spolky)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</si>
  <si>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podobným organizacím  </t>
    </r>
    <r>
      <rPr>
        <b/>
        <sz val="10"/>
        <rFont val="Arial"/>
        <family val="2"/>
        <charset val="238"/>
      </rPr>
      <t>Expozice cisterciácký klášter</t>
    </r>
  </si>
  <si>
    <t>2212 
včetně investic</t>
  </si>
  <si>
    <r>
      <t>Investice</t>
    </r>
    <r>
      <rPr>
        <b/>
        <i/>
        <sz val="8"/>
        <rFont val="Arial"/>
        <family val="2"/>
        <charset val="238"/>
      </rPr>
      <t xml:space="preserve"> - ostatní záležitosti pozemních komunikací</t>
    </r>
  </si>
  <si>
    <t xml:space="preserve">                                 10   2212</t>
  </si>
  <si>
    <t xml:space="preserve">                                 10   2219</t>
  </si>
  <si>
    <t>2219 
včetně investic</t>
  </si>
  <si>
    <t>2310 
včetně investic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</si>
  <si>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  
Zateplení ZŠ</t>
    </r>
  </si>
  <si>
    <t>3113 
včetně investic</t>
  </si>
  <si>
    <r>
      <t>Investice</t>
    </r>
    <r>
      <rPr>
        <b/>
        <i/>
        <sz val="8"/>
        <rFont val="Arial"/>
        <family val="2"/>
        <charset val="238"/>
      </rPr>
      <t xml:space="preserve"> - pitná voda</t>
    </r>
  </si>
  <si>
    <r>
      <t>Investice</t>
    </r>
    <r>
      <rPr>
        <b/>
        <i/>
        <sz val="8"/>
        <rFont val="Arial"/>
        <family val="2"/>
        <charset val="238"/>
      </rPr>
      <t xml:space="preserve"> - odvádění a čištění odpadních vod a nakládání s kaly</t>
    </r>
  </si>
  <si>
    <r>
      <rPr>
        <b/>
        <sz val="10"/>
        <color indexed="10"/>
        <rFont val="Arial"/>
        <family val="2"/>
        <charset val="238"/>
      </rPr>
      <t>6122</t>
    </r>
    <r>
      <rPr>
        <sz val="10"/>
        <rFont val="Arial"/>
        <family val="2"/>
        <charset val="238"/>
      </rPr>
      <t xml:space="preserve">  
Liberátor</t>
    </r>
  </si>
  <si>
    <r>
      <t>Investice</t>
    </r>
    <r>
      <rPr>
        <b/>
        <i/>
        <sz val="8"/>
        <rFont val="Arial"/>
        <family val="2"/>
        <charset val="238"/>
      </rPr>
      <t xml:space="preserve"> - ostatní záležitosti kultury</t>
    </r>
  </si>
  <si>
    <t>3319 
včetně investic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</si>
  <si>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Obytná zóna za elektrárenskými bytovkami</t>
    </r>
  </si>
  <si>
    <r>
      <t>Investice</t>
    </r>
    <r>
      <rPr>
        <b/>
        <i/>
        <sz val="8"/>
        <rFont val="Arial"/>
        <family val="2"/>
        <charset val="238"/>
      </rPr>
      <t xml:space="preserve"> - podpora individuální bytové výstavby</t>
    </r>
  </si>
  <si>
    <r>
      <t>Investice</t>
    </r>
    <r>
      <rPr>
        <b/>
        <i/>
        <sz val="8"/>
        <rFont val="Arial"/>
        <family val="2"/>
        <charset val="238"/>
      </rPr>
      <t xml:space="preserve"> - bytové hospodářství</t>
    </r>
  </si>
  <si>
    <t>3612
včetně investic</t>
  </si>
  <si>
    <t xml:space="preserve">                                  39   3619</t>
  </si>
  <si>
    <t>3619
včetně investic</t>
  </si>
  <si>
    <t xml:space="preserve">                                  39   3631</t>
  </si>
  <si>
    <t>3631
včetně investic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</si>
  <si>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Veřejné osvětlení 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</si>
  <si>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Obytná zóna na Daníčkách 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</si>
  <si>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Zateplení pavlače
Odvětrání kotelen ulic Pivovarská a Za Kostelem</t>
    </r>
  </si>
  <si>
    <r>
      <t xml:space="preserve">Investice - </t>
    </r>
    <r>
      <rPr>
        <b/>
        <i/>
        <sz val="8"/>
        <rFont val="Arial"/>
        <family val="2"/>
        <charset val="238"/>
      </rPr>
      <t>silnice</t>
    </r>
  </si>
  <si>
    <r>
      <t>Investice</t>
    </r>
    <r>
      <rPr>
        <b/>
        <i/>
        <sz val="8"/>
        <rFont val="Arial"/>
        <family val="2"/>
        <charset val="238"/>
      </rPr>
      <t xml:space="preserve"> - ostatní rozvoj bydlení a bytového hospodářství</t>
    </r>
  </si>
  <si>
    <r>
      <t>Investice</t>
    </r>
    <r>
      <rPr>
        <b/>
        <i/>
        <sz val="8"/>
        <rFont val="Arial"/>
        <family val="2"/>
        <charset val="238"/>
      </rPr>
      <t xml:space="preserve"> - veřejné osvětlení</t>
    </r>
  </si>
  <si>
    <t xml:space="preserve">                                  39   3745</t>
  </si>
  <si>
    <r>
      <t>Investice</t>
    </r>
    <r>
      <rPr>
        <b/>
        <i/>
        <sz val="8"/>
        <rFont val="Arial"/>
        <family val="2"/>
        <charset val="238"/>
      </rPr>
      <t xml:space="preserve"> - péče o vzhled a veřejnou zeleň</t>
    </r>
  </si>
  <si>
    <t xml:space="preserve">                                  19  6171</t>
  </si>
  <si>
    <r>
      <t>Investice</t>
    </r>
    <r>
      <rPr>
        <b/>
        <i/>
        <sz val="8"/>
        <rFont val="Arial"/>
        <family val="2"/>
        <charset val="238"/>
      </rPr>
      <t xml:space="preserve"> - činnost místní správy</t>
    </r>
  </si>
  <si>
    <r>
      <rPr>
        <b/>
        <sz val="10"/>
        <color indexed="10"/>
        <rFont val="Arial"/>
        <family val="2"/>
        <charset val="238"/>
      </rPr>
      <t>6122</t>
    </r>
    <r>
      <rPr>
        <sz val="10"/>
        <rFont val="Arial"/>
        <family val="2"/>
        <charset val="238"/>
      </rPr>
      <t xml:space="preserve">
Fenix - zařízení</t>
    </r>
  </si>
  <si>
    <r>
      <rPr>
        <b/>
        <sz val="10"/>
        <color indexed="10"/>
        <rFont val="Arial"/>
        <family val="2"/>
        <charset val="238"/>
      </rPr>
      <t>6130</t>
    </r>
    <r>
      <rPr>
        <sz val="10"/>
        <rFont val="Arial"/>
        <family val="2"/>
        <charset val="238"/>
      </rPr>
      <t xml:space="preserve">
Nákup pozemků</t>
    </r>
  </si>
  <si>
    <t>6171
včetně investic</t>
  </si>
  <si>
    <t xml:space="preserve">                                 02   2321</t>
  </si>
  <si>
    <t xml:space="preserve">                               02   2310</t>
  </si>
  <si>
    <t>v tis. Kč</t>
  </si>
  <si>
    <r>
      <t xml:space="preserve">Výdaje 2014 </t>
    </r>
    <r>
      <rPr>
        <sz val="12"/>
        <rFont val="Arial"/>
        <family val="2"/>
        <charset val="238"/>
      </rPr>
      <t>- v tis. Kč</t>
    </r>
  </si>
  <si>
    <r>
      <rPr>
        <b/>
        <sz val="10"/>
        <color indexed="10"/>
        <rFont val="Arial"/>
        <family val="2"/>
        <charset val="238"/>
      </rPr>
      <t>5034</t>
    </r>
    <r>
      <rPr>
        <sz val="10"/>
        <rFont val="Arial"/>
        <family val="2"/>
        <charset val="238"/>
      </rPr>
      <t xml:space="preserve"> - Prádlo, oděv a obuv</t>
    </r>
  </si>
  <si>
    <t>3345
včetně investic</t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</si>
  <si>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 a obuv</t>
    </r>
  </si>
  <si>
    <t>2321 
včetně investic</t>
  </si>
  <si>
    <t xml:space="preserve">                                  14   3113</t>
  </si>
  <si>
    <t xml:space="preserve">                                   16   3319</t>
  </si>
  <si>
    <t xml:space="preserve">                                  39   3611</t>
  </si>
  <si>
    <t xml:space="preserve">                       1000    39   3612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</si>
  <si>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Střecha hospodářská budova - zlatnictví </t>
    </r>
  </si>
  <si>
    <t>kontrolní součty</t>
  </si>
  <si>
    <r>
      <rPr>
        <b/>
        <sz val="10"/>
        <color indexed="10"/>
        <rFont val="Arial"/>
        <family val="2"/>
        <charset val="238"/>
      </rPr>
      <t>5153</t>
    </r>
    <r>
      <rPr>
        <sz val="10"/>
        <rFont val="Arial"/>
        <family val="2"/>
        <charset val="238"/>
      </rPr>
      <t xml:space="preserve"> - Plyn</t>
    </r>
  </si>
  <si>
    <r>
      <rPr>
        <b/>
        <sz val="10"/>
        <color indexed="10"/>
        <rFont val="Arial"/>
        <family val="2"/>
        <charset val="238"/>
      </rPr>
      <t xml:space="preserve">5169 </t>
    </r>
    <r>
      <rPr>
        <sz val="10"/>
        <rFont val="Arial"/>
        <family val="2"/>
        <charset val="238"/>
      </rPr>
      <t>- Nákup ostatních služeb</t>
    </r>
  </si>
  <si>
    <r>
      <rPr>
        <b/>
        <sz val="10"/>
        <color rgb="FFFF0000"/>
        <rFont val="Arial"/>
        <family val="2"/>
        <charset val="238"/>
      </rPr>
      <t>5138</t>
    </r>
    <r>
      <rPr>
        <sz val="10"/>
        <rFont val="Arial"/>
        <family val="2"/>
        <charset val="238"/>
      </rPr>
      <t xml:space="preserve"> - Nákup zboží (za účelem dalšího prodeje)</t>
    </r>
  </si>
  <si>
    <t>kontolní součet</t>
  </si>
  <si>
    <t>sečteny všechny org.</t>
  </si>
  <si>
    <t>dle FIN</t>
  </si>
  <si>
    <t>rozdíl</t>
  </si>
  <si>
    <r>
      <rPr>
        <b/>
        <sz val="10"/>
        <color indexed="10"/>
        <rFont val="Arial"/>
        <family val="2"/>
        <charset val="238"/>
      </rPr>
      <t>5362</t>
    </r>
    <r>
      <rPr>
        <sz val="10"/>
        <rFont val="Arial"/>
        <family val="2"/>
        <charset val="238"/>
      </rPr>
      <t xml:space="preserve"> - Platby daní a poplatků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</si>
  <si>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soc.zab.a přís. na st.polit.zam.</t>
    </r>
  </si>
  <si>
    <t>231 30     98348        19   6117</t>
  </si>
  <si>
    <r>
      <rPr>
        <b/>
        <sz val="10"/>
        <color indexed="10"/>
        <rFont val="Arial"/>
        <family val="2"/>
        <charset val="238"/>
      </rPr>
      <t>5361</t>
    </r>
    <r>
      <rPr>
        <sz val="10"/>
        <rFont val="Arial"/>
        <family val="2"/>
        <charset val="238"/>
      </rPr>
      <t xml:space="preserve"> - Nákup kolků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</si>
  <si>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  
Kruhový objezd u Normy
Kruhový objezd Pyramida
Komunikace (propojení Swalmenská - Třebčická)
Rekonstrukce Plzeňská ulice - 2.etapa
City bloky u Normy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</si>
  <si>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  
Úprava povrchu chodníků - Náměstí u kostela
Bezbariérové chodníky
Bezbariérové chodníky - 2.etapa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</si>
  <si>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  
Vrt HV 05, 06
Propojení vodovodu a prodlouž.kanalizace v Přesanické ul.
Propojení vodovodu v Zelenohorské ulici</t>
    </r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</si>
  <si>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  
Prodloužení kanalizace - Přesanická ul.
Zrušení ČOV a zřízení čerpací stanice v Nábřežní ul.včetně zřízení výtlaku do stávající kanalizace v Přesanické ul.
Nepomuk - dešťová kanalizace v ul. Swalmenská a A.Berndorfa</t>
    </r>
  </si>
  <si>
    <t xml:space="preserve">                                  39   3613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</si>
  <si>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Rekonstrukce kotelny ve sportovní hale
Výměna oken a vchodových dveří u rehabilitace </t>
    </r>
  </si>
  <si>
    <r>
      <t>Investice</t>
    </r>
    <r>
      <rPr>
        <b/>
        <i/>
        <sz val="8"/>
        <rFont val="Arial"/>
        <family val="2"/>
        <charset val="238"/>
      </rPr>
      <t xml:space="preserve"> - nebytové hospodářství</t>
    </r>
  </si>
  <si>
    <t>3613
včetně investic</t>
  </si>
  <si>
    <r>
      <rPr>
        <b/>
        <sz val="10"/>
        <color indexed="10"/>
        <rFont val="Arial"/>
        <family val="2"/>
        <charset val="238"/>
      </rPr>
      <t>5649</t>
    </r>
    <r>
      <rPr>
        <sz val="10"/>
        <rFont val="Arial"/>
        <family val="2"/>
        <charset val="238"/>
      </rPr>
      <t xml:space="preserve"> - Ostatní neinvetiční půjčené prostředky veřejným
rozpočtům územní úrovně</t>
    </r>
  </si>
  <si>
    <r>
      <rPr>
        <b/>
        <sz val="10"/>
        <color indexed="10"/>
        <rFont val="Arial"/>
        <family val="2"/>
        <charset val="238"/>
      </rPr>
      <t>6122</t>
    </r>
    <r>
      <rPr>
        <sz val="10"/>
        <rFont val="Arial"/>
        <family val="2"/>
        <charset val="238"/>
      </rPr>
      <t xml:space="preserve">
Vysavač na čištění ulic 
Zametací stroj</t>
    </r>
  </si>
  <si>
    <r>
      <t xml:space="preserve">Ost.činnosti související se službami pro obyvatelstvo - přijaté
nekapitálové příspěvky, náhrady </t>
    </r>
    <r>
      <rPr>
        <b/>
        <sz val="8"/>
        <color rgb="FFFF0000"/>
        <rFont val="Arial"/>
        <family val="2"/>
        <charset val="238"/>
      </rPr>
      <t>(projekt SMO)</t>
    </r>
  </si>
  <si>
    <t>z toho                             poplatek za provozovaný výherní hrací přístroj</t>
  </si>
  <si>
    <t>z toho            odvody za odnětí půdy ze zemědělského půdního fondu</t>
  </si>
  <si>
    <t xml:space="preserve">    z toho                                       příjmy z poskytnutých služeb a výrobků</t>
  </si>
  <si>
    <t>z toho        Ozdravov.hosp.zv.a veterin.péče-příjmy z poskyt.služ. a výr.</t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</si>
  <si>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Ost.neinv.transfery</t>
    </r>
  </si>
  <si>
    <t>investice</t>
  </si>
  <si>
    <t>kultura + investice</t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</si>
  <si>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Ost.neinvestiční transfery neziskovým a podobným org.</t>
    </r>
  </si>
  <si>
    <t>rozdíl C-D</t>
  </si>
  <si>
    <t>Příjmy z prodeje zboží</t>
  </si>
  <si>
    <t>2212 včetně investic</t>
  </si>
  <si>
    <t>2310 včetně investic</t>
  </si>
  <si>
    <t>2321 včetně investic</t>
  </si>
  <si>
    <t>3113 včetně investic</t>
  </si>
  <si>
    <t>3319 včetně investic</t>
  </si>
  <si>
    <t xml:space="preserve">3611 
</t>
  </si>
  <si>
    <t>3612 včetně investic</t>
  </si>
  <si>
    <t>3613 včetně investic</t>
  </si>
  <si>
    <t>3621 včetně investic</t>
  </si>
  <si>
    <t>3745 včetně investic</t>
  </si>
  <si>
    <t>Bezpečnost a veřejný pořádek</t>
  </si>
  <si>
    <t>6171 včetně investic</t>
  </si>
  <si>
    <t>231 30             5959   19   5311</t>
  </si>
  <si>
    <t>5311 - Bezpečnost a veřejný pořádek</t>
  </si>
  <si>
    <t>231 30     98187        19   6115</t>
  </si>
  <si>
    <t xml:space="preserve">Volby do zastupitelstva obce </t>
  </si>
  <si>
    <r>
      <rPr>
        <b/>
        <sz val="10"/>
        <color indexed="10"/>
        <rFont val="Arial"/>
        <family val="2"/>
        <charset val="238"/>
      </rPr>
      <t>6121</t>
    </r>
    <r>
      <rPr>
        <sz val="10"/>
        <rFont val="Arial"/>
        <family val="2"/>
        <charset val="238"/>
      </rPr>
      <t xml:space="preserve">
Rezerva
Metropolitní síť 2. etapa</t>
    </r>
  </si>
  <si>
    <r>
      <rPr>
        <b/>
        <sz val="10"/>
        <color indexed="10"/>
        <rFont val="Arial"/>
        <family val="2"/>
        <charset val="238"/>
      </rPr>
      <t>6123</t>
    </r>
    <r>
      <rPr>
        <sz val="10"/>
        <rFont val="Arial"/>
        <family val="2"/>
        <charset val="238"/>
      </rPr>
      <t xml:space="preserve">
Osobní automobil (místo modré felicie)
motorové vozidlo Fiat Fiorino</t>
    </r>
  </si>
  <si>
    <t>1036 - Správa v lesním hospodářství</t>
  </si>
  <si>
    <t>2212 - Silnice</t>
  </si>
  <si>
    <t>3111 - Předškolní zařízení</t>
  </si>
  <si>
    <t>3113 - Základní školy</t>
  </si>
  <si>
    <t>3231 - Základní umělecké školy</t>
  </si>
  <si>
    <t>3319 - Ostatní záležitosti kultury</t>
  </si>
  <si>
    <t>3412 - Sportovní zařízení v majetku obce</t>
  </si>
  <si>
    <t>3421 - Využití volného času mládeže</t>
  </si>
  <si>
    <t>3722 - Sběr a svoz komunálních odpadů</t>
  </si>
  <si>
    <t xml:space="preserve">2310 - Pitná voda </t>
  </si>
  <si>
    <t>5512 - Požární ochrana - dobrovolná část</t>
  </si>
  <si>
    <t>6112 - Zastupitelstva obcí</t>
  </si>
  <si>
    <t>6171 - Činnost místní správy</t>
  </si>
  <si>
    <t>6402 - Finanční vypořádání minulých let</t>
  </si>
  <si>
    <t>zpět</t>
  </si>
  <si>
    <t xml:space="preserve">1031 - Pěstební činnost ( lesní hospodářství ) </t>
  </si>
  <si>
    <t>Pěstební činnost ( lesní hospodářství )</t>
  </si>
  <si>
    <t>Správa v lesním hospodářství</t>
  </si>
  <si>
    <t>Silnice</t>
  </si>
  <si>
    <t>Pitná voda</t>
  </si>
  <si>
    <t xml:space="preserve">Odvádění a čištění odpadních vod a nakládání s kaly </t>
  </si>
  <si>
    <t>Předškolní zařízení</t>
  </si>
  <si>
    <t>Základní školy</t>
  </si>
  <si>
    <t xml:space="preserve">Základní umělecké školy </t>
  </si>
  <si>
    <t xml:space="preserve">Ostatní záležitosti kultury </t>
  </si>
  <si>
    <t xml:space="preserve">Činnosti registrovaných církví a náboženských společností </t>
  </si>
  <si>
    <t>Sportovní zařízení v majetku obce</t>
  </si>
  <si>
    <t>Využití volného času mládeže</t>
  </si>
  <si>
    <t>Sběr a svoz komunálních odpadů</t>
  </si>
  <si>
    <t>Péče o vzhled obcí a veřejnou zeleň</t>
  </si>
  <si>
    <t>Ostatní sociální péče a pomoc rodině a manželství (pěstounská péče)</t>
  </si>
  <si>
    <t>Osobní asistence, pečovatelská služba a podpora samostatného bydlení</t>
  </si>
  <si>
    <t>5212 - Ochrana obyvatelstva</t>
  </si>
  <si>
    <t>Ochrana obyvatelstva</t>
  </si>
  <si>
    <t>Požární ochrana - dobrovolná část</t>
  </si>
  <si>
    <t xml:space="preserve">Zastupitelstva města </t>
  </si>
  <si>
    <t>6115 - Volby do zastupitelstev územních 
            samosprávných celků</t>
  </si>
  <si>
    <t>6117 - Volby do Evropského parlamentu</t>
  </si>
  <si>
    <t>Volby do zastupitelstev územních samosprávných celků</t>
  </si>
  <si>
    <t xml:space="preserve">Volby do Evropského parlamentu </t>
  </si>
  <si>
    <t xml:space="preserve">Obecné příjmy a výdaje z finančních operací </t>
  </si>
  <si>
    <t>Převody vlastním fondům v rozpočtech územní úrovně (sociální fond)</t>
  </si>
  <si>
    <t xml:space="preserve">Převody vlastním fondům v rozpočtech územní úrovně </t>
  </si>
  <si>
    <t>6399 - Ostatní finanční operace</t>
  </si>
  <si>
    <t>Ostatní finanční operace (Platby daní a poplatků)</t>
  </si>
  <si>
    <t>Ostatní činnosti jinde nazařazené 
( příspěvek do mikroregionu )</t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</si>
  <si>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(lesní, rybářská a myslivecká stráž)</t>
    </r>
  </si>
  <si>
    <t>Návrh rozpočtu
 na rok 2015</t>
  </si>
  <si>
    <t>Návrh rozpočtu na rok 2015</t>
  </si>
  <si>
    <t>před 11. rozp.
opatřením</t>
  </si>
  <si>
    <t>11. rozpočtové
Opatření</t>
  </si>
  <si>
    <t>Rozpočet 
po změně</t>
  </si>
  <si>
    <t>Rekonstrukce Plzeňské ulice -2.etapa</t>
  </si>
  <si>
    <t>Vrt HV 05, 06</t>
  </si>
  <si>
    <t xml:space="preserve">Obytná zóna na Daníčkách </t>
  </si>
  <si>
    <t>Přístavba ZUŠ u ZŠ</t>
  </si>
  <si>
    <t>Vrt HV3 - napojení na síť</t>
  </si>
  <si>
    <t xml:space="preserve">Dětská hřiště </t>
  </si>
  <si>
    <t>Prodloužení kanalizace u p. Viktory</t>
  </si>
  <si>
    <t>Prodloužení kanalizace ve Dvorci, 
Ke Dvorům u pí Silovské</t>
  </si>
  <si>
    <t>Cyklostezka</t>
  </si>
  <si>
    <t>Rekonstrukce kotelny ve sportovní hale</t>
  </si>
  <si>
    <t>Rekonstrukce budovy rehabilitace</t>
  </si>
  <si>
    <t>Rekonstrukce rozvodů na vodárně</t>
  </si>
  <si>
    <t>opěrná zeď - Kubík</t>
  </si>
  <si>
    <t>Opěrné zdi - Jirky Kubíka 367, 368</t>
  </si>
  <si>
    <t>Bezbarierové chodníky - 2.etapa</t>
  </si>
  <si>
    <t>Plán investic pro rok 2015</t>
  </si>
  <si>
    <t>Veřejné osvětlení - propojení Swalmenská / Třebčická</t>
  </si>
  <si>
    <t>Veřejné osvětlení - Nové Město, Přesanická</t>
  </si>
  <si>
    <t>Stavba garáže pro zásahový automobil SDH</t>
  </si>
  <si>
    <t>Terasa - Nám. A. Němejce 64</t>
  </si>
  <si>
    <t>Výměna střešních oken - bytové domy U Sokolovny</t>
  </si>
  <si>
    <t>radar 450*12</t>
  </si>
  <si>
    <t>Fortianalyzer (správa logu z firewallu)</t>
  </si>
  <si>
    <t>příspěvky na dětský den a jiné akce</t>
  </si>
  <si>
    <t>Ostatní tělovýchovná činnost (městské granty)</t>
  </si>
  <si>
    <t>Příjmy</t>
  </si>
  <si>
    <t>Výdaje</t>
  </si>
  <si>
    <r>
      <rPr>
        <b/>
        <sz val="10"/>
        <color indexed="10"/>
        <rFont val="Arial"/>
        <family val="2"/>
        <charset val="238"/>
      </rPr>
      <t>5499</t>
    </r>
    <r>
      <rPr>
        <sz val="10"/>
        <rFont val="Arial"/>
        <family val="2"/>
        <charset val="238"/>
      </rPr>
      <t xml:space="preserve"> - Ostaní neinvestiční transfery obyvatelstvu - stravenky</t>
    </r>
  </si>
  <si>
    <t>Nové kulturní akce</t>
  </si>
  <si>
    <t>231 30              ????   16   3319</t>
  </si>
  <si>
    <t>231 30                        ??   3326</t>
  </si>
  <si>
    <t>Pořízení, zachování a obnova hodnot místního kulturního, národního a historického povědomí</t>
  </si>
  <si>
    <t>Rodný dům A.Němejce</t>
  </si>
  <si>
    <t>Partnerská města</t>
  </si>
  <si>
    <t>Propagace Nepomuka</t>
  </si>
  <si>
    <t>Pivní slavnosti</t>
  </si>
  <si>
    <t>z toho                                     Kultura</t>
  </si>
  <si>
    <t>z toho                           SDH Nepomuk</t>
  </si>
  <si>
    <t xml:space="preserve">                  SDH Dvorec</t>
  </si>
  <si>
    <t xml:space="preserve"> na lesní, rybářskou a mysliveckou stráž</t>
  </si>
  <si>
    <t xml:space="preserve">                                 rezerva na likvidaci katastrof</t>
  </si>
  <si>
    <t xml:space="preserve">                                        rezerva na krizové stravy</t>
  </si>
  <si>
    <t>Strategické plánování a příprava projektů</t>
  </si>
  <si>
    <t xml:space="preserve">Okna - bytové domy Na Vinici </t>
  </si>
  <si>
    <t xml:space="preserve">Oplocení pozemku IZS  </t>
  </si>
  <si>
    <t xml:space="preserve">Oplocení vrtů </t>
  </si>
  <si>
    <t>Prodloužení plynovodu - Třebčická ulice</t>
  </si>
  <si>
    <t xml:space="preserve">Zrušení ČOV a zřízení čerpací stanice v Nábřežní 
ulici včetně zřízení výtlaku do stávající kanalizace v Přesanické ulici </t>
  </si>
  <si>
    <t xml:space="preserve">Propojení vodovodu a prodloužení kanalizace
v Přesanické ulici </t>
  </si>
  <si>
    <t xml:space="preserve">Propojení vodovodu v Zelenohorské ulici </t>
  </si>
  <si>
    <t>Daň z nabytí nemovitých věcí</t>
  </si>
  <si>
    <t>Daňové příjmy a poplatky</t>
  </si>
  <si>
    <t>Návrh 
 na rok 2015</t>
  </si>
  <si>
    <t>Zpracoval: Ing. Jaroslav Somolík</t>
  </si>
  <si>
    <t>Ing. Jiří Švec</t>
  </si>
  <si>
    <t>starosta města Nepomuk</t>
  </si>
  <si>
    <t xml:space="preserve">         Ing. Jiří Švec</t>
  </si>
  <si>
    <t>Deficit rozpočtu je kryt naspořenými finančními prostředky z loňských let.</t>
  </si>
  <si>
    <t>starosta Města Nepomuk</t>
  </si>
  <si>
    <t xml:space="preserve">3900 - Ostatní činnosti související se službami pro obyvatelstvo (projekt Systémová 
            podpora rozvoje meziobecní spolupráce) </t>
  </si>
  <si>
    <t>4351 - Osobní asistence, pečovatelská služba a podpora samostatného bydlení</t>
  </si>
  <si>
    <t>4339 - Ostatní sociální péče a pomoc rodině a manželství (pěstounská péče)</t>
  </si>
  <si>
    <t>3326 - Pořízení, zachování a obnova hodnot místního kulturního, národního a 
          historického povědomí (památkový grant)</t>
  </si>
  <si>
    <t>1014 - Ozdravování hospodářských zvířat, polních a speciálních plodin a zvláštní  
            veterinární péče</t>
  </si>
  <si>
    <t>2321 - Odvádění a čištění odpadních vod a nakládání s kaly</t>
  </si>
  <si>
    <t xml:space="preserve">3330 - Činnosti registrovaných církví a náboženských společností </t>
  </si>
  <si>
    <t>3419 - Ostatní tělovýchovná činnost ( městské granty )</t>
  </si>
  <si>
    <t>3745 - Péče o vzhled obcí a veřejnou zeleň ( místní hospodářství)</t>
  </si>
  <si>
    <t>6310 - Obecné příjmy a výdaje z finančních operací (služby peněžních ústavů)</t>
  </si>
  <si>
    <t xml:space="preserve">6330 - Převody vlastním fondům v rozpočtech územní úrovně </t>
  </si>
  <si>
    <t>6409 - Ostatní činnosti jinde nazařazené ( příspěvek do mikroregionu )</t>
  </si>
  <si>
    <t>Nedaňové a kapitálové příjmy</t>
  </si>
  <si>
    <t>Ostatní nedaňové a kapitálové příjmy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</si>
</sst>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0.0"/>
    <numFmt numFmtId="166" formatCode="#,##0.00000"/>
    <numFmt numFmtId="167" formatCode="#,##0.0"/>
    <numFmt numFmtId="168" formatCode="#,##0.000"/>
    <numFmt numFmtId="169" formatCode="#,##0.00000000"/>
    <numFmt numFmtId="170" formatCode="0.00000"/>
    <numFmt numFmtId="171" formatCode="0.000000"/>
    <numFmt numFmtId="172" formatCode="#,##0.00\ &quot;Kč&quot;"/>
  </numFmts>
  <fonts count="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333FF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2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7.5"/>
      <name val="Arial"/>
      <family val="2"/>
      <charset val="238"/>
    </font>
    <font>
      <sz val="7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8"/>
      <color theme="0" tint="-0.34998626667073579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7"/>
      <name val="Arial"/>
      <family val="2"/>
      <charset val="238"/>
    </font>
    <font>
      <sz val="10"/>
      <color theme="0"/>
      <name val="Arial"/>
      <family val="2"/>
      <charset val="238"/>
    </font>
    <font>
      <sz val="13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u/>
      <sz val="15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0"/>
      <color rgb="FFC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7">
    <xf numFmtId="0" fontId="0" fillId="0" borderId="0"/>
    <xf numFmtId="0" fontId="6" fillId="0" borderId="0"/>
    <xf numFmtId="0" fontId="19" fillId="0" borderId="0"/>
    <xf numFmtId="0" fontId="5" fillId="0" borderId="0"/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6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8" fillId="0" borderId="0" xfId="0" applyNumberFormat="1" applyFont="1" applyAlignment="1">
      <alignment horizontal="center"/>
    </xf>
    <xf numFmtId="0" fontId="7" fillId="0" borderId="0" xfId="1" applyFont="1"/>
    <xf numFmtId="4" fontId="6" fillId="0" borderId="0" xfId="1" applyNumberFormat="1"/>
    <xf numFmtId="164" fontId="6" fillId="0" borderId="0" xfId="1" applyNumberFormat="1"/>
    <xf numFmtId="0" fontId="0" fillId="0" borderId="1" xfId="0" applyBorder="1" applyAlignment="1">
      <alignment horizontal="center" vertical="center"/>
    </xf>
    <xf numFmtId="0" fontId="10" fillId="2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1" applyFont="1" applyBorder="1"/>
    <xf numFmtId="4" fontId="6" fillId="0" borderId="3" xfId="1" applyNumberFormat="1" applyFont="1" applyBorder="1"/>
    <xf numFmtId="164" fontId="6" fillId="0" borderId="3" xfId="1" applyNumberFormat="1" applyFont="1" applyBorder="1"/>
    <xf numFmtId="165" fontId="6" fillId="0" borderId="3" xfId="1" applyNumberFormat="1" applyFont="1" applyBorder="1" applyAlignment="1">
      <alignment horizontal="right"/>
    </xf>
    <xf numFmtId="0" fontId="6" fillId="0" borderId="3" xfId="1" applyFont="1" applyBorder="1" applyAlignment="1">
      <alignment wrapText="1"/>
    </xf>
    <xf numFmtId="0" fontId="0" fillId="0" borderId="2" xfId="0" applyBorder="1" applyAlignment="1">
      <alignment vertical="center"/>
    </xf>
    <xf numFmtId="4" fontId="10" fillId="3" borderId="0" xfId="1" applyNumberFormat="1" applyFont="1" applyFill="1" applyBorder="1" applyAlignment="1">
      <alignment horizontal="right" vertical="center"/>
    </xf>
    <xf numFmtId="4" fontId="10" fillId="3" borderId="0" xfId="1" applyNumberFormat="1" applyFont="1" applyFill="1" applyBorder="1" applyAlignment="1">
      <alignment vertical="center"/>
    </xf>
    <xf numFmtId="166" fontId="10" fillId="3" borderId="0" xfId="1" applyNumberFormat="1" applyFont="1" applyFill="1" applyBorder="1" applyAlignment="1">
      <alignment vertical="center"/>
    </xf>
    <xf numFmtId="0" fontId="10" fillId="0" borderId="0" xfId="1" applyFont="1" applyAlignment="1">
      <alignment wrapText="1"/>
    </xf>
    <xf numFmtId="164" fontId="10" fillId="0" borderId="0" xfId="1" applyNumberFormat="1" applyFont="1" applyAlignment="1">
      <alignment wrapText="1"/>
    </xf>
    <xf numFmtId="4" fontId="6" fillId="0" borderId="3" xfId="1" applyNumberFormat="1" applyFont="1" applyBorder="1" applyAlignment="1">
      <alignment vertical="center"/>
    </xf>
    <xf numFmtId="4" fontId="6" fillId="0" borderId="3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1" applyBorder="1"/>
    <xf numFmtId="4" fontId="6" fillId="0" borderId="3" xfId="1" applyNumberFormat="1" applyBorder="1"/>
    <xf numFmtId="0" fontId="6" fillId="0" borderId="3" xfId="1" applyBorder="1" applyAlignment="1">
      <alignment wrapText="1"/>
    </xf>
    <xf numFmtId="4" fontId="6" fillId="0" borderId="3" xfId="1" applyNumberForma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0" fontId="10" fillId="0" borderId="3" xfId="1" applyFont="1" applyBorder="1"/>
    <xf numFmtId="4" fontId="6" fillId="0" borderId="4" xfId="1" applyNumberFormat="1" applyBorder="1"/>
    <xf numFmtId="4" fontId="6" fillId="0" borderId="0" xfId="1" applyNumberFormat="1" applyBorder="1"/>
    <xf numFmtId="4" fontId="10" fillId="4" borderId="0" xfId="1" applyNumberFormat="1" applyFont="1" applyFill="1" applyBorder="1" applyAlignment="1">
      <alignment vertical="center"/>
    </xf>
    <xf numFmtId="166" fontId="10" fillId="4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vertical="center"/>
    </xf>
    <xf numFmtId="0" fontId="6" fillId="0" borderId="3" xfId="1" applyFont="1" applyBorder="1" applyAlignment="1"/>
    <xf numFmtId="4" fontId="6" fillId="0" borderId="3" xfId="1" applyNumberFormat="1" applyFont="1" applyBorder="1" applyAlignment="1"/>
    <xf numFmtId="164" fontId="6" fillId="0" borderId="0" xfId="1" applyNumberFormat="1" applyFont="1"/>
    <xf numFmtId="4" fontId="10" fillId="0" borderId="0" xfId="1" applyNumberFormat="1" applyFont="1" applyBorder="1"/>
    <xf numFmtId="0" fontId="6" fillId="0" borderId="3" xfId="1" applyFont="1" applyFill="1" applyBorder="1" applyAlignment="1"/>
    <xf numFmtId="4" fontId="0" fillId="0" borderId="3" xfId="0" applyNumberFormat="1" applyBorder="1"/>
    <xf numFmtId="0" fontId="10" fillId="5" borderId="5" xfId="1" applyFont="1" applyFill="1" applyBorder="1" applyAlignment="1">
      <alignment vertical="center" wrapText="1"/>
    </xf>
    <xf numFmtId="0" fontId="6" fillId="0" borderId="6" xfId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0" fontId="10" fillId="0" borderId="2" xfId="0" applyFont="1" applyFill="1" applyBorder="1" applyAlignment="1">
      <alignment vertical="center"/>
    </xf>
    <xf numFmtId="0" fontId="6" fillId="0" borderId="7" xfId="1" applyBorder="1"/>
    <xf numFmtId="4" fontId="10" fillId="4" borderId="7" xfId="1" applyNumberFormat="1" applyFont="1" applyFill="1" applyBorder="1" applyAlignment="1">
      <alignment vertical="center"/>
    </xf>
    <xf numFmtId="0" fontId="6" fillId="0" borderId="0" xfId="1" applyBorder="1"/>
    <xf numFmtId="164" fontId="6" fillId="0" borderId="0" xfId="1" applyNumberFormat="1" applyBorder="1"/>
    <xf numFmtId="0" fontId="14" fillId="0" borderId="1" xfId="0" applyFont="1" applyBorder="1" applyAlignment="1">
      <alignment horizontal="center" vertical="center"/>
    </xf>
    <xf numFmtId="0" fontId="6" fillId="0" borderId="6" xfId="1" applyBorder="1"/>
    <xf numFmtId="164" fontId="10" fillId="0" borderId="0" xfId="1" applyNumberFormat="1" applyFont="1" applyBorder="1"/>
    <xf numFmtId="0" fontId="6" fillId="0" borderId="0" xfId="1" applyFont="1" applyBorder="1" applyAlignment="1">
      <alignment wrapText="1"/>
    </xf>
    <xf numFmtId="0" fontId="6" fillId="3" borderId="0" xfId="1" applyFill="1" applyBorder="1" applyAlignment="1">
      <alignment wrapText="1"/>
    </xf>
    <xf numFmtId="0" fontId="10" fillId="0" borderId="3" xfId="1" applyFont="1" applyBorder="1" applyAlignment="1">
      <alignment wrapText="1"/>
    </xf>
    <xf numFmtId="164" fontId="6" fillId="0" borderId="0" xfId="1" applyNumberFormat="1" applyFont="1" applyAlignment="1">
      <alignment wrapText="1"/>
    </xf>
    <xf numFmtId="4" fontId="6" fillId="0" borderId="3" xfId="1" applyNumberFormat="1" applyFont="1" applyBorder="1" applyAlignment="1">
      <alignment wrapText="1"/>
    </xf>
    <xf numFmtId="4" fontId="6" fillId="0" borderId="3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0" fontId="6" fillId="0" borderId="0" xfId="1"/>
    <xf numFmtId="4" fontId="6" fillId="0" borderId="3" xfId="1" applyNumberFormat="1" applyFont="1" applyFill="1" applyBorder="1"/>
    <xf numFmtId="164" fontId="6" fillId="0" borderId="3" xfId="1" applyNumberFormat="1" applyFont="1" applyFill="1" applyBorder="1"/>
    <xf numFmtId="0" fontId="0" fillId="0" borderId="0" xfId="0" applyFill="1"/>
    <xf numFmtId="0" fontId="8" fillId="5" borderId="0" xfId="1" applyFont="1" applyFill="1"/>
    <xf numFmtId="0" fontId="8" fillId="0" borderId="0" xfId="1" applyFont="1" applyFill="1"/>
    <xf numFmtId="0" fontId="6" fillId="0" borderId="0" xfId="0" applyFont="1" applyAlignment="1">
      <alignment vertical="center"/>
    </xf>
    <xf numFmtId="166" fontId="17" fillId="3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wrapText="1"/>
    </xf>
    <xf numFmtId="164" fontId="6" fillId="0" borderId="0" xfId="1" applyNumberFormat="1" applyFont="1" applyFill="1" applyAlignment="1">
      <alignment wrapText="1"/>
    </xf>
    <xf numFmtId="0" fontId="0" fillId="0" borderId="0" xfId="0" applyFill="1" applyAlignment="1">
      <alignment vertical="center"/>
    </xf>
    <xf numFmtId="4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4" fontId="0" fillId="0" borderId="0" xfId="0" applyNumberFormat="1"/>
    <xf numFmtId="0" fontId="19" fillId="0" borderId="0" xfId="2"/>
    <xf numFmtId="4" fontId="19" fillId="0" borderId="0" xfId="2" applyNumberFormat="1"/>
    <xf numFmtId="0" fontId="20" fillId="0" borderId="0" xfId="2" applyFont="1"/>
    <xf numFmtId="4" fontId="19" fillId="0" borderId="0" xfId="2" applyNumberFormat="1" applyBorder="1"/>
    <xf numFmtId="0" fontId="19" fillId="0" borderId="0" xfId="2" applyBorder="1"/>
    <xf numFmtId="0" fontId="19" fillId="0" borderId="3" xfId="2" applyBorder="1"/>
    <xf numFmtId="4" fontId="10" fillId="0" borderId="3" xfId="2" applyNumberFormat="1" applyFont="1" applyBorder="1"/>
    <xf numFmtId="4" fontId="19" fillId="0" borderId="3" xfId="2" applyNumberFormat="1" applyBorder="1"/>
    <xf numFmtId="4" fontId="6" fillId="0" borderId="3" xfId="2" applyNumberFormat="1" applyFont="1" applyBorder="1"/>
    <xf numFmtId="0" fontId="6" fillId="0" borderId="3" xfId="2" applyFont="1" applyBorder="1"/>
    <xf numFmtId="4" fontId="6" fillId="0" borderId="3" xfId="2" applyNumberFormat="1" applyFont="1" applyBorder="1" applyAlignment="1">
      <alignment vertical="center"/>
    </xf>
    <xf numFmtId="4" fontId="6" fillId="0" borderId="3" xfId="2" applyNumberFormat="1" applyFont="1" applyFill="1" applyBorder="1" applyAlignment="1">
      <alignment vertical="center"/>
    </xf>
    <xf numFmtId="0" fontId="6" fillId="0" borderId="3" xfId="2" applyFont="1" applyFill="1" applyBorder="1"/>
    <xf numFmtId="0" fontId="6" fillId="0" borderId="0" xfId="2" applyFont="1"/>
    <xf numFmtId="4" fontId="6" fillId="0" borderId="0" xfId="2" applyNumberFormat="1" applyFont="1"/>
    <xf numFmtId="0" fontId="10" fillId="0" borderId="3" xfId="2" applyFont="1" applyBorder="1"/>
    <xf numFmtId="4" fontId="10" fillId="6" borderId="3" xfId="2" applyNumberFormat="1" applyFont="1" applyFill="1" applyBorder="1"/>
    <xf numFmtId="4" fontId="6" fillId="6" borderId="3" xfId="2" applyNumberFormat="1" applyFont="1" applyFill="1" applyBorder="1"/>
    <xf numFmtId="4" fontId="10" fillId="7" borderId="3" xfId="2" applyNumberFormat="1" applyFont="1" applyFill="1" applyBorder="1"/>
    <xf numFmtId="4" fontId="6" fillId="7" borderId="3" xfId="2" applyNumberFormat="1" applyFont="1" applyFill="1" applyBorder="1"/>
    <xf numFmtId="0" fontId="21" fillId="0" borderId="3" xfId="2" applyFont="1" applyBorder="1"/>
    <xf numFmtId="4" fontId="10" fillId="8" borderId="3" xfId="2" applyNumberFormat="1" applyFont="1" applyFill="1" applyBorder="1"/>
    <xf numFmtId="4" fontId="6" fillId="8" borderId="3" xfId="2" applyNumberFormat="1" applyFont="1" applyFill="1" applyBorder="1"/>
    <xf numFmtId="4" fontId="6" fillId="0" borderId="0" xfId="2" applyNumberFormat="1" applyFont="1" applyBorder="1"/>
    <xf numFmtId="0" fontId="10" fillId="0" borderId="0" xfId="2" applyFont="1"/>
    <xf numFmtId="0" fontId="19" fillId="0" borderId="3" xfId="2" applyBorder="1" applyAlignment="1">
      <alignment vertical="center"/>
    </xf>
    <xf numFmtId="0" fontId="6" fillId="0" borderId="3" xfId="2" applyFont="1" applyBorder="1" applyAlignment="1">
      <alignment vertical="center" wrapText="1"/>
    </xf>
    <xf numFmtId="4" fontId="19" fillId="0" borderId="3" xfId="2" applyNumberFormat="1" applyBorder="1" applyAlignment="1">
      <alignment vertical="center"/>
    </xf>
    <xf numFmtId="0" fontId="6" fillId="0" borderId="0" xfId="2" applyFont="1" applyAlignment="1"/>
    <xf numFmtId="0" fontId="6" fillId="0" borderId="0" xfId="2" applyFont="1" applyBorder="1"/>
    <xf numFmtId="0" fontId="19" fillId="0" borderId="0" xfId="2" applyAlignment="1"/>
    <xf numFmtId="4" fontId="6" fillId="0" borderId="0" xfId="1" applyNumberFormat="1" applyFont="1"/>
    <xf numFmtId="0" fontId="10" fillId="0" borderId="0" xfId="1" applyFont="1"/>
    <xf numFmtId="4" fontId="10" fillId="0" borderId="3" xfId="1" applyNumberFormat="1" applyFont="1" applyBorder="1" applyAlignment="1">
      <alignment vertical="center"/>
    </xf>
    <xf numFmtId="4" fontId="6" fillId="0" borderId="0" xfId="1" applyNumberFormat="1" applyAlignment="1">
      <alignment vertical="center"/>
    </xf>
    <xf numFmtId="0" fontId="10" fillId="0" borderId="3" xfId="1" applyFont="1" applyFill="1" applyBorder="1"/>
    <xf numFmtId="0" fontId="23" fillId="0" borderId="0" xfId="1" applyFont="1"/>
    <xf numFmtId="4" fontId="6" fillId="0" borderId="3" xfId="1" applyNumberFormat="1" applyBorder="1" applyAlignment="1">
      <alignment horizontal="right" vertical="center"/>
    </xf>
    <xf numFmtId="0" fontId="6" fillId="0" borderId="3" xfId="1" applyFont="1" applyFill="1" applyBorder="1"/>
    <xf numFmtId="0" fontId="24" fillId="0" borderId="0" xfId="2" applyFont="1" applyFill="1" applyAlignment="1"/>
    <xf numFmtId="0" fontId="6" fillId="0" borderId="0" xfId="1" applyFill="1"/>
    <xf numFmtId="0" fontId="6" fillId="0" borderId="0" xfId="1" applyFont="1"/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8" xfId="2" applyNumberFormat="1" applyFont="1" applyFill="1" applyBorder="1" applyAlignment="1">
      <alignment horizontal="center" vertical="center" wrapText="1"/>
    </xf>
    <xf numFmtId="0" fontId="5" fillId="0" borderId="0" xfId="3"/>
    <xf numFmtId="0" fontId="5" fillId="0" borderId="0" xfId="3" applyAlignment="1"/>
    <xf numFmtId="0" fontId="5" fillId="0" borderId="2" xfId="3" applyBorder="1" applyAlignment="1">
      <alignment horizontal="center" vertical="center"/>
    </xf>
    <xf numFmtId="49" fontId="5" fillId="0" borderId="1" xfId="3" applyNumberFormat="1" applyBorder="1" applyAlignment="1">
      <alignment horizontal="center" vertical="center"/>
    </xf>
    <xf numFmtId="4" fontId="5" fillId="0" borderId="0" xfId="3" applyNumberFormat="1"/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49" fontId="5" fillId="0" borderId="13" xfId="3" applyNumberFormat="1" applyBorder="1" applyAlignment="1">
      <alignment horizontal="center" vertical="center"/>
    </xf>
    <xf numFmtId="0" fontId="5" fillId="0" borderId="0" xfId="3" applyFill="1"/>
    <xf numFmtId="0" fontId="12" fillId="0" borderId="10" xfId="3" applyFont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28" fillId="0" borderId="0" xfId="3" applyFont="1"/>
    <xf numFmtId="4" fontId="28" fillId="0" borderId="0" xfId="3" applyNumberFormat="1" applyFont="1"/>
    <xf numFmtId="0" fontId="19" fillId="0" borderId="0" xfId="2" applyFill="1"/>
    <xf numFmtId="0" fontId="5" fillId="0" borderId="0" xfId="3" applyBorder="1" applyAlignment="1"/>
    <xf numFmtId="0" fontId="5" fillId="0" borderId="0" xfId="3" applyBorder="1"/>
    <xf numFmtId="0" fontId="5" fillId="0" borderId="6" xfId="3" applyBorder="1"/>
    <xf numFmtId="49" fontId="5" fillId="0" borderId="1" xfId="3" applyNumberForma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166" fontId="0" fillId="0" borderId="0" xfId="0" applyNumberForma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6" fillId="10" borderId="3" xfId="0" applyFont="1" applyFill="1" applyBorder="1"/>
    <xf numFmtId="0" fontId="16" fillId="10" borderId="3" xfId="0" applyFont="1" applyFill="1" applyBorder="1"/>
    <xf numFmtId="4" fontId="6" fillId="10" borderId="3" xfId="0" applyNumberFormat="1" applyFont="1" applyFill="1" applyBorder="1"/>
    <xf numFmtId="4" fontId="6" fillId="0" borderId="3" xfId="0" applyNumberFormat="1" applyFont="1" applyFill="1" applyBorder="1"/>
    <xf numFmtId="4" fontId="22" fillId="10" borderId="3" xfId="0" applyNumberFormat="1" applyFont="1" applyFill="1" applyBorder="1"/>
    <xf numFmtId="2" fontId="0" fillId="0" borderId="3" xfId="0" applyNumberFormat="1" applyBorder="1" applyAlignment="1">
      <alignment horizontal="center"/>
    </xf>
    <xf numFmtId="169" fontId="0" fillId="0" borderId="0" xfId="0" applyNumberFormat="1"/>
    <xf numFmtId="0" fontId="0" fillId="0" borderId="0" xfId="0" applyBorder="1"/>
    <xf numFmtId="0" fontId="0" fillId="0" borderId="0" xfId="0" applyFill="1" applyBorder="1"/>
    <xf numFmtId="4" fontId="0" fillId="10" borderId="3" xfId="0" applyNumberFormat="1" applyFont="1" applyFill="1" applyBorder="1"/>
    <xf numFmtId="4" fontId="0" fillId="0" borderId="3" xfId="0" applyNumberFormat="1" applyFont="1" applyFill="1" applyBorder="1"/>
    <xf numFmtId="4" fontId="6" fillId="10" borderId="0" xfId="0" applyNumberFormat="1" applyFont="1" applyFill="1" applyBorder="1"/>
    <xf numFmtId="4" fontId="6" fillId="0" borderId="0" xfId="0" applyNumberFormat="1" applyFont="1" applyFill="1" applyBorder="1"/>
    <xf numFmtId="4" fontId="10" fillId="10" borderId="3" xfId="0" applyNumberFormat="1" applyFont="1" applyFill="1" applyBorder="1"/>
    <xf numFmtId="4" fontId="10" fillId="0" borderId="3" xfId="0" applyNumberFormat="1" applyFont="1" applyFill="1" applyBorder="1"/>
    <xf numFmtId="4" fontId="12" fillId="10" borderId="3" xfId="0" applyNumberFormat="1" applyFont="1" applyFill="1" applyBorder="1"/>
    <xf numFmtId="4" fontId="10" fillId="0" borderId="0" xfId="0" applyNumberFormat="1" applyFont="1" applyFill="1" applyBorder="1"/>
    <xf numFmtId="2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/>
    <xf numFmtId="49" fontId="0" fillId="11" borderId="1" xfId="0" applyNumberForma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6" fillId="11" borderId="3" xfId="0" applyFont="1" applyFill="1" applyBorder="1"/>
    <xf numFmtId="0" fontId="16" fillId="11" borderId="3" xfId="0" applyFont="1" applyFill="1" applyBorder="1"/>
    <xf numFmtId="4" fontId="6" fillId="11" borderId="3" xfId="0" applyNumberFormat="1" applyFont="1" applyFill="1" applyBorder="1"/>
    <xf numFmtId="4" fontId="22" fillId="11" borderId="3" xfId="0" applyNumberFormat="1" applyFont="1" applyFill="1" applyBorder="1"/>
    <xf numFmtId="0" fontId="0" fillId="11" borderId="3" xfId="0" applyFill="1" applyBorder="1"/>
    <xf numFmtId="4" fontId="0" fillId="11" borderId="3" xfId="0" applyNumberFormat="1" applyFill="1" applyBorder="1"/>
    <xf numFmtId="4" fontId="0" fillId="11" borderId="0" xfId="0" applyNumberFormat="1" applyFill="1" applyBorder="1"/>
    <xf numFmtId="4" fontId="0" fillId="0" borderId="0" xfId="0" applyNumberFormat="1" applyFill="1" applyBorder="1"/>
    <xf numFmtId="4" fontId="0" fillId="11" borderId="3" xfId="0" applyNumberFormat="1" applyFont="1" applyFill="1" applyBorder="1"/>
    <xf numFmtId="4" fontId="10" fillId="11" borderId="3" xfId="0" applyNumberFormat="1" applyFont="1" applyFill="1" applyBorder="1"/>
    <xf numFmtId="49" fontId="22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2" fillId="12" borderId="11" xfId="0" applyFont="1" applyFill="1" applyBorder="1" applyAlignment="1">
      <alignment horizontal="center" vertical="center"/>
    </xf>
    <xf numFmtId="0" fontId="6" fillId="12" borderId="3" xfId="0" applyFont="1" applyFill="1" applyBorder="1"/>
    <xf numFmtId="0" fontId="16" fillId="12" borderId="3" xfId="0" applyFont="1" applyFill="1" applyBorder="1"/>
    <xf numFmtId="4" fontId="6" fillId="12" borderId="3" xfId="0" applyNumberFormat="1" applyFont="1" applyFill="1" applyBorder="1"/>
    <xf numFmtId="4" fontId="6" fillId="12" borderId="3" xfId="0" applyNumberFormat="1" applyFont="1" applyFill="1" applyBorder="1" applyAlignment="1">
      <alignment vertical="center"/>
    </xf>
    <xf numFmtId="49" fontId="0" fillId="12" borderId="1" xfId="0" applyNumberFormat="1" applyFon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 vertical="center"/>
    </xf>
    <xf numFmtId="4" fontId="6" fillId="12" borderId="15" xfId="0" applyNumberFormat="1" applyFont="1" applyFill="1" applyBorder="1"/>
    <xf numFmtId="4" fontId="6" fillId="0" borderId="10" xfId="0" applyNumberFormat="1" applyFont="1" applyFill="1" applyBorder="1"/>
    <xf numFmtId="49" fontId="0" fillId="13" borderId="1" xfId="0" applyNumberForma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/>
    </xf>
    <xf numFmtId="0" fontId="0" fillId="13" borderId="3" xfId="0" applyFill="1" applyBorder="1"/>
    <xf numFmtId="0" fontId="16" fillId="13" borderId="3" xfId="0" applyFont="1" applyFill="1" applyBorder="1"/>
    <xf numFmtId="4" fontId="6" fillId="13" borderId="3" xfId="0" applyNumberFormat="1" applyFont="1" applyFill="1" applyBorder="1"/>
    <xf numFmtId="4" fontId="22" fillId="13" borderId="3" xfId="0" applyNumberFormat="1" applyFont="1" applyFill="1" applyBorder="1"/>
    <xf numFmtId="4" fontId="0" fillId="13" borderId="3" xfId="0" applyNumberFormat="1" applyFill="1" applyBorder="1"/>
    <xf numFmtId="0" fontId="22" fillId="13" borderId="11" xfId="0" applyFont="1" applyFill="1" applyBorder="1" applyAlignment="1">
      <alignment horizontal="center" vertical="center"/>
    </xf>
    <xf numFmtId="0" fontId="0" fillId="13" borderId="3" xfId="0" applyFill="1" applyBorder="1" applyAlignment="1">
      <alignment vertical="center"/>
    </xf>
    <xf numFmtId="0" fontId="16" fillId="13" borderId="3" xfId="0" applyFont="1" applyFill="1" applyBorder="1" applyAlignment="1">
      <alignment vertical="center" wrapText="1"/>
    </xf>
    <xf numFmtId="4" fontId="0" fillId="13" borderId="3" xfId="0" applyNumberFormat="1" applyFill="1" applyBorder="1" applyAlignment="1">
      <alignment vertical="center"/>
    </xf>
    <xf numFmtId="4" fontId="6" fillId="13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4" fontId="34" fillId="13" borderId="3" xfId="0" applyNumberFormat="1" applyFont="1" applyFill="1" applyBorder="1"/>
    <xf numFmtId="4" fontId="0" fillId="13" borderId="0" xfId="0" applyNumberFormat="1" applyFill="1" applyBorder="1"/>
    <xf numFmtId="49" fontId="0" fillId="0" borderId="1" xfId="0" applyNumberForma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6" fillId="0" borderId="3" xfId="0" applyFont="1" applyBorder="1"/>
    <xf numFmtId="0" fontId="16" fillId="0" borderId="3" xfId="0" applyFont="1" applyBorder="1"/>
    <xf numFmtId="4" fontId="6" fillId="0" borderId="3" xfId="0" applyNumberFormat="1" applyFont="1" applyBorder="1"/>
    <xf numFmtId="49" fontId="0" fillId="14" borderId="1" xfId="0" applyNumberForma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/>
    </xf>
    <xf numFmtId="0" fontId="6" fillId="14" borderId="3" xfId="0" applyFont="1" applyFill="1" applyBorder="1"/>
    <xf numFmtId="0" fontId="16" fillId="14" borderId="3" xfId="0" applyFont="1" applyFill="1" applyBorder="1"/>
    <xf numFmtId="4" fontId="6" fillId="14" borderId="3" xfId="0" applyNumberFormat="1" applyFont="1" applyFill="1" applyBorder="1"/>
    <xf numFmtId="4" fontId="22" fillId="14" borderId="3" xfId="0" applyNumberFormat="1" applyFont="1" applyFill="1" applyBorder="1"/>
    <xf numFmtId="0" fontId="0" fillId="14" borderId="3" xfId="0" applyFill="1" applyBorder="1"/>
    <xf numFmtId="4" fontId="0" fillId="14" borderId="3" xfId="0" applyNumberFormat="1" applyFill="1" applyBorder="1"/>
    <xf numFmtId="4" fontId="0" fillId="14" borderId="0" xfId="0" applyNumberFormat="1" applyFill="1" applyBorder="1"/>
    <xf numFmtId="0" fontId="22" fillId="0" borderId="11" xfId="0" applyFont="1" applyFill="1" applyBorder="1" applyAlignment="1">
      <alignment horizontal="center" vertical="center"/>
    </xf>
    <xf numFmtId="4" fontId="0" fillId="0" borderId="3" xfId="0" applyNumberFormat="1" applyFill="1" applyBorder="1"/>
    <xf numFmtId="4" fontId="22" fillId="0" borderId="3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9" fontId="0" fillId="15" borderId="1" xfId="0" applyNumberForma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/>
    </xf>
    <xf numFmtId="0" fontId="6" fillId="15" borderId="3" xfId="0" applyFont="1" applyFill="1" applyBorder="1"/>
    <xf numFmtId="0" fontId="16" fillId="15" borderId="3" xfId="0" applyFont="1" applyFill="1" applyBorder="1"/>
    <xf numFmtId="4" fontId="6" fillId="15" borderId="3" xfId="0" applyNumberFormat="1" applyFont="1" applyFill="1" applyBorder="1"/>
    <xf numFmtId="4" fontId="22" fillId="15" borderId="3" xfId="0" applyNumberFormat="1" applyFont="1" applyFill="1" applyBorder="1"/>
    <xf numFmtId="0" fontId="0" fillId="15" borderId="3" xfId="0" applyFill="1" applyBorder="1"/>
    <xf numFmtId="4" fontId="0" fillId="15" borderId="3" xfId="0" applyNumberFormat="1" applyFill="1" applyBorder="1"/>
    <xf numFmtId="4" fontId="0" fillId="15" borderId="0" xfId="0" applyNumberFormat="1" applyFill="1" applyBorder="1"/>
    <xf numFmtId="49" fontId="0" fillId="16" borderId="1" xfId="0" applyNumberForma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22" fillId="16" borderId="11" xfId="0" applyFont="1" applyFill="1" applyBorder="1" applyAlignment="1">
      <alignment horizontal="center"/>
    </xf>
    <xf numFmtId="0" fontId="0" fillId="16" borderId="3" xfId="0" applyFill="1" applyBorder="1"/>
    <xf numFmtId="0" fontId="16" fillId="16" borderId="3" xfId="0" applyFont="1" applyFill="1" applyBorder="1"/>
    <xf numFmtId="4" fontId="6" fillId="16" borderId="3" xfId="0" applyNumberFormat="1" applyFont="1" applyFill="1" applyBorder="1"/>
    <xf numFmtId="4" fontId="6" fillId="16" borderId="3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" fontId="0" fillId="16" borderId="3" xfId="0" applyNumberFormat="1" applyFill="1" applyBorder="1"/>
    <xf numFmtId="0" fontId="35" fillId="16" borderId="3" xfId="0" applyFont="1" applyFill="1" applyBorder="1"/>
    <xf numFmtId="4" fontId="22" fillId="16" borderId="3" xfId="0" applyNumberFormat="1" applyFont="1" applyFill="1" applyBorder="1"/>
    <xf numFmtId="4" fontId="0" fillId="16" borderId="15" xfId="0" applyNumberFormat="1" applyFill="1" applyBorder="1"/>
    <xf numFmtId="4" fontId="0" fillId="0" borderId="10" xfId="0" applyNumberFormat="1" applyFill="1" applyBorder="1"/>
    <xf numFmtId="166" fontId="0" fillId="16" borderId="3" xfId="0" applyNumberFormat="1" applyFill="1" applyBorder="1"/>
    <xf numFmtId="4" fontId="34" fillId="0" borderId="3" xfId="0" applyNumberFormat="1" applyFont="1" applyFill="1" applyBorder="1"/>
    <xf numFmtId="49" fontId="22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0" fillId="4" borderId="3" xfId="0" applyFill="1" applyBorder="1"/>
    <xf numFmtId="0" fontId="16" fillId="4" borderId="3" xfId="0" applyFont="1" applyFill="1" applyBorder="1"/>
    <xf numFmtId="4" fontId="0" fillId="4" borderId="3" xfId="0" applyNumberFormat="1" applyFill="1" applyBorder="1"/>
    <xf numFmtId="4" fontId="22" fillId="4" borderId="3" xfId="0" applyNumberFormat="1" applyFont="1" applyFill="1" applyBorder="1"/>
    <xf numFmtId="4" fontId="34" fillId="4" borderId="3" xfId="0" applyNumberFormat="1" applyFont="1" applyFill="1" applyBorder="1"/>
    <xf numFmtId="4" fontId="0" fillId="4" borderId="0" xfId="0" applyNumberFormat="1" applyFill="1" applyBorder="1"/>
    <xf numFmtId="0" fontId="22" fillId="0" borderId="11" xfId="0" applyFont="1" applyFill="1" applyBorder="1" applyAlignment="1">
      <alignment horizontal="center"/>
    </xf>
    <xf numFmtId="0" fontId="0" fillId="0" borderId="3" xfId="0" applyFill="1" applyBorder="1"/>
    <xf numFmtId="0" fontId="16" fillId="0" borderId="3" xfId="0" applyFont="1" applyFill="1" applyBorder="1"/>
    <xf numFmtId="0" fontId="22" fillId="12" borderId="11" xfId="0" applyFont="1" applyFill="1" applyBorder="1" applyAlignment="1">
      <alignment horizontal="center"/>
    </xf>
    <xf numFmtId="0" fontId="0" fillId="12" borderId="3" xfId="0" applyFill="1" applyBorder="1"/>
    <xf numFmtId="4" fontId="0" fillId="12" borderId="3" xfId="0" applyNumberFormat="1" applyFill="1" applyBorder="1"/>
    <xf numFmtId="4" fontId="0" fillId="12" borderId="0" xfId="0" applyNumberFormat="1" applyFill="1" applyBorder="1"/>
    <xf numFmtId="0" fontId="17" fillId="0" borderId="3" xfId="0" applyFont="1" applyBorder="1"/>
    <xf numFmtId="4" fontId="10" fillId="0" borderId="3" xfId="0" applyNumberFormat="1" applyFont="1" applyBorder="1"/>
    <xf numFmtId="4" fontId="10" fillId="0" borderId="3" xfId="0" applyNumberFormat="1" applyFont="1" applyFill="1" applyBorder="1" applyAlignment="1">
      <alignment vertical="center"/>
    </xf>
    <xf numFmtId="4" fontId="10" fillId="0" borderId="0" xfId="0" applyNumberFormat="1" applyFont="1"/>
    <xf numFmtId="4" fontId="10" fillId="0" borderId="0" xfId="0" applyNumberFormat="1" applyFont="1" applyFill="1"/>
    <xf numFmtId="4" fontId="10" fillId="0" borderId="8" xfId="0" applyNumberFormat="1" applyFont="1" applyFill="1" applyBorder="1"/>
    <xf numFmtId="4" fontId="10" fillId="0" borderId="8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16" fillId="0" borderId="0" xfId="0" applyFont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49" fontId="4" fillId="17" borderId="1" xfId="2" applyNumberFormat="1" applyFont="1" applyFill="1" applyBorder="1" applyAlignment="1">
      <alignment horizontal="center" vertical="center"/>
    </xf>
    <xf numFmtId="0" fontId="12" fillId="17" borderId="12" xfId="2" applyFont="1" applyFill="1" applyBorder="1" applyAlignment="1">
      <alignment horizontal="center" vertical="center"/>
    </xf>
    <xf numFmtId="0" fontId="4" fillId="0" borderId="0" xfId="2" applyFont="1"/>
    <xf numFmtId="0" fontId="12" fillId="17" borderId="10" xfId="2" applyFont="1" applyFill="1" applyBorder="1" applyAlignment="1">
      <alignment horizontal="center" vertical="center"/>
    </xf>
    <xf numFmtId="0" fontId="4" fillId="0" borderId="0" xfId="2" applyFont="1" applyFill="1"/>
    <xf numFmtId="49" fontId="5" fillId="17" borderId="1" xfId="3" applyNumberFormat="1" applyFill="1" applyBorder="1" applyAlignment="1">
      <alignment horizontal="center" vertical="center"/>
    </xf>
    <xf numFmtId="0" fontId="12" fillId="17" borderId="12" xfId="3" applyFont="1" applyFill="1" applyBorder="1" applyAlignment="1">
      <alignment horizontal="center" vertical="center"/>
    </xf>
    <xf numFmtId="0" fontId="5" fillId="0" borderId="0" xfId="3" applyAlignment="1">
      <alignment vertical="center"/>
    </xf>
    <xf numFmtId="0" fontId="6" fillId="0" borderId="0" xfId="2" applyFont="1" applyFill="1" applyAlignment="1">
      <alignment vertical="center"/>
    </xf>
    <xf numFmtId="4" fontId="21" fillId="6" borderId="3" xfId="3" applyNumberFormat="1" applyFont="1" applyFill="1" applyBorder="1" applyAlignment="1">
      <alignment vertical="center"/>
    </xf>
    <xf numFmtId="4" fontId="21" fillId="0" borderId="3" xfId="3" applyNumberFormat="1" applyFont="1" applyFill="1" applyBorder="1" applyAlignment="1">
      <alignment vertical="center"/>
    </xf>
    <xf numFmtId="4" fontId="6" fillId="6" borderId="3" xfId="3" applyNumberFormat="1" applyFont="1" applyFill="1" applyBorder="1" applyAlignment="1">
      <alignment vertical="center"/>
    </xf>
    <xf numFmtId="4" fontId="6" fillId="0" borderId="3" xfId="3" applyNumberFormat="1" applyFont="1" applyFill="1" applyBorder="1" applyAlignment="1">
      <alignment vertical="center"/>
    </xf>
    <xf numFmtId="3" fontId="6" fillId="6" borderId="3" xfId="3" applyNumberFormat="1" applyFont="1" applyFill="1" applyBorder="1" applyAlignment="1">
      <alignment vertical="center"/>
    </xf>
    <xf numFmtId="0" fontId="5" fillId="0" borderId="12" xfId="3" applyBorder="1" applyAlignment="1">
      <alignment vertical="center"/>
    </xf>
    <xf numFmtId="4" fontId="14" fillId="0" borderId="3" xfId="3" applyNumberFormat="1" applyFont="1" applyFill="1" applyBorder="1" applyAlignment="1">
      <alignment horizontal="right" vertical="center"/>
    </xf>
    <xf numFmtId="4" fontId="29" fillId="0" borderId="3" xfId="3" applyNumberFormat="1" applyFont="1" applyFill="1" applyBorder="1" applyAlignment="1">
      <alignment vertical="center"/>
    </xf>
    <xf numFmtId="4" fontId="30" fillId="0" borderId="3" xfId="3" applyNumberFormat="1" applyFont="1" applyFill="1" applyBorder="1" applyAlignment="1">
      <alignment vertical="center"/>
    </xf>
    <xf numFmtId="0" fontId="14" fillId="0" borderId="3" xfId="3" applyFont="1" applyFill="1" applyBorder="1" applyAlignment="1">
      <alignment horizontal="right" vertical="center"/>
    </xf>
    <xf numFmtId="4" fontId="26" fillId="0" borderId="3" xfId="3" applyNumberFormat="1" applyFont="1" applyFill="1" applyBorder="1" applyAlignment="1">
      <alignment vertical="center"/>
    </xf>
    <xf numFmtId="0" fontId="26" fillId="0" borderId="3" xfId="3" applyFont="1" applyFill="1" applyBorder="1" applyAlignment="1">
      <alignment vertical="center"/>
    </xf>
    <xf numFmtId="0" fontId="30" fillId="0" borderId="3" xfId="3" applyFont="1" applyFill="1" applyBorder="1" applyAlignment="1">
      <alignment vertical="center"/>
    </xf>
    <xf numFmtId="3" fontId="29" fillId="0" borderId="3" xfId="3" applyNumberFormat="1" applyFont="1" applyFill="1" applyBorder="1" applyAlignment="1">
      <alignment vertical="center"/>
    </xf>
    <xf numFmtId="2" fontId="30" fillId="0" borderId="3" xfId="3" applyNumberFormat="1" applyFont="1" applyFill="1" applyBorder="1" applyAlignment="1">
      <alignment vertical="center"/>
    </xf>
    <xf numFmtId="4" fontId="21" fillId="7" borderId="3" xfId="3" applyNumberFormat="1" applyFont="1" applyFill="1" applyBorder="1" applyAlignment="1">
      <alignment vertical="center"/>
    </xf>
    <xf numFmtId="4" fontId="10" fillId="7" borderId="3" xfId="3" applyNumberFormat="1" applyFont="1" applyFill="1" applyBorder="1" applyAlignment="1">
      <alignment vertical="center"/>
    </xf>
    <xf numFmtId="4" fontId="6" fillId="7" borderId="3" xfId="3" applyNumberFormat="1" applyFont="1" applyFill="1" applyBorder="1" applyAlignment="1">
      <alignment vertical="center"/>
    </xf>
    <xf numFmtId="0" fontId="5" fillId="0" borderId="13" xfId="3" applyBorder="1" applyAlignment="1">
      <alignment vertical="center"/>
    </xf>
    <xf numFmtId="4" fontId="14" fillId="0" borderId="3" xfId="3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0" fontId="5" fillId="0" borderId="10" xfId="3" applyBorder="1" applyAlignment="1">
      <alignment vertical="center"/>
    </xf>
    <xf numFmtId="0" fontId="14" fillId="17" borderId="3" xfId="2" applyFont="1" applyFill="1" applyBorder="1" applyAlignment="1">
      <alignment horizontal="right" vertical="center" wrapText="1"/>
    </xf>
    <xf numFmtId="4" fontId="37" fillId="0" borderId="3" xfId="2" applyNumberFormat="1" applyFont="1" applyFill="1" applyBorder="1" applyAlignment="1">
      <alignment vertical="center"/>
    </xf>
    <xf numFmtId="4" fontId="31" fillId="0" borderId="3" xfId="3" applyNumberFormat="1" applyFont="1" applyFill="1" applyBorder="1" applyAlignment="1">
      <alignment vertical="center"/>
    </xf>
    <xf numFmtId="0" fontId="26" fillId="0" borderId="3" xfId="2" applyFont="1" applyFill="1" applyBorder="1" applyAlignment="1">
      <alignment vertical="center"/>
    </xf>
    <xf numFmtId="0" fontId="14" fillId="17" borderId="3" xfId="3" applyFont="1" applyFill="1" applyBorder="1" applyAlignment="1">
      <alignment horizontal="right" vertical="center"/>
    </xf>
    <xf numFmtId="0" fontId="14" fillId="17" borderId="3" xfId="2" applyFont="1" applyFill="1" applyBorder="1" applyAlignment="1">
      <alignment horizontal="right" vertical="center"/>
    </xf>
    <xf numFmtId="0" fontId="21" fillId="0" borderId="3" xfId="3" applyFont="1" applyBorder="1" applyAlignment="1">
      <alignment vertical="center"/>
    </xf>
    <xf numFmtId="4" fontId="21" fillId="0" borderId="3" xfId="3" applyNumberFormat="1" applyFont="1" applyBorder="1" applyAlignment="1">
      <alignment vertical="center"/>
    </xf>
    <xf numFmtId="0" fontId="5" fillId="0" borderId="14" xfId="3" applyBorder="1" applyAlignment="1">
      <alignment vertical="center"/>
    </xf>
    <xf numFmtId="4" fontId="10" fillId="8" borderId="3" xfId="3" applyNumberFormat="1" applyFont="1" applyFill="1" applyBorder="1" applyAlignment="1">
      <alignment vertical="center"/>
    </xf>
    <xf numFmtId="4" fontId="10" fillId="0" borderId="3" xfId="3" applyNumberFormat="1" applyFont="1" applyFill="1" applyBorder="1" applyAlignment="1">
      <alignment vertical="center"/>
    </xf>
    <xf numFmtId="0" fontId="0" fillId="9" borderId="3" xfId="3" applyFont="1" applyFill="1" applyBorder="1" applyAlignment="1">
      <alignment horizontal="left" vertical="center"/>
    </xf>
    <xf numFmtId="4" fontId="6" fillId="8" borderId="3" xfId="3" applyNumberFormat="1" applyFont="1" applyFill="1" applyBorder="1" applyAlignment="1">
      <alignment vertical="center"/>
    </xf>
    <xf numFmtId="4" fontId="0" fillId="8" borderId="3" xfId="3" applyNumberFormat="1" applyFont="1" applyFill="1" applyBorder="1" applyAlignment="1">
      <alignment vertical="center"/>
    </xf>
    <xf numFmtId="4" fontId="0" fillId="0" borderId="3" xfId="3" applyNumberFormat="1" applyFont="1" applyFill="1" applyBorder="1" applyAlignment="1">
      <alignment vertical="center"/>
    </xf>
    <xf numFmtId="4" fontId="5" fillId="0" borderId="3" xfId="3" applyNumberFormat="1" applyBorder="1" applyAlignment="1">
      <alignment vertical="center"/>
    </xf>
    <xf numFmtId="4" fontId="5" fillId="0" borderId="3" xfId="3" applyNumberFormat="1" applyFill="1" applyBorder="1" applyAlignment="1">
      <alignment vertical="center"/>
    </xf>
    <xf numFmtId="2" fontId="5" fillId="0" borderId="3" xfId="3" applyNumberFormat="1" applyBorder="1" applyAlignment="1">
      <alignment vertical="center"/>
    </xf>
    <xf numFmtId="4" fontId="28" fillId="0" borderId="3" xfId="3" applyNumberFormat="1" applyFont="1" applyBorder="1" applyAlignment="1">
      <alignment vertical="center"/>
    </xf>
    <xf numFmtId="2" fontId="5" fillId="0" borderId="3" xfId="3" applyNumberFormat="1" applyFill="1" applyBorder="1" applyAlignment="1">
      <alignment vertical="center"/>
    </xf>
    <xf numFmtId="0" fontId="21" fillId="0" borderId="3" xfId="3" applyFont="1" applyFill="1" applyBorder="1" applyAlignment="1">
      <alignment vertical="center"/>
    </xf>
    <xf numFmtId="166" fontId="21" fillId="0" borderId="3" xfId="3" applyNumberFormat="1" applyFont="1" applyBorder="1" applyAlignment="1">
      <alignment vertical="center"/>
    </xf>
    <xf numFmtId="166" fontId="21" fillId="0" borderId="3" xfId="3" applyNumberFormat="1" applyFont="1" applyFill="1" applyBorder="1" applyAlignment="1">
      <alignment vertical="center"/>
    </xf>
    <xf numFmtId="3" fontId="6" fillId="8" borderId="3" xfId="3" applyNumberFormat="1" applyFont="1" applyFill="1" applyBorder="1" applyAlignment="1">
      <alignment vertical="center"/>
    </xf>
    <xf numFmtId="3" fontId="6" fillId="0" borderId="3" xfId="3" applyNumberFormat="1" applyFont="1" applyBorder="1" applyAlignment="1">
      <alignment vertical="center"/>
    </xf>
    <xf numFmtId="4" fontId="5" fillId="0" borderId="0" xfId="3" applyNumberFormat="1" applyFill="1"/>
    <xf numFmtId="4" fontId="39" fillId="0" borderId="8" xfId="2" applyNumberFormat="1" applyFont="1" applyFill="1" applyBorder="1" applyAlignment="1">
      <alignment horizontal="center" vertical="center" wrapText="1"/>
    </xf>
    <xf numFmtId="166" fontId="21" fillId="6" borderId="3" xfId="3" applyNumberFormat="1" applyFont="1" applyFill="1" applyBorder="1" applyAlignment="1">
      <alignment vertical="center"/>
    </xf>
    <xf numFmtId="166" fontId="38" fillId="6" borderId="3" xfId="3" applyNumberFormat="1" applyFont="1" applyFill="1" applyBorder="1" applyAlignment="1">
      <alignment vertical="center"/>
    </xf>
    <xf numFmtId="166" fontId="30" fillId="0" borderId="3" xfId="3" applyNumberFormat="1" applyFont="1" applyFill="1" applyBorder="1" applyAlignment="1">
      <alignment vertical="center"/>
    </xf>
    <xf numFmtId="166" fontId="6" fillId="6" borderId="3" xfId="3" applyNumberFormat="1" applyFont="1" applyFill="1" applyBorder="1" applyAlignment="1">
      <alignment vertical="center"/>
    </xf>
    <xf numFmtId="166" fontId="10" fillId="7" borderId="3" xfId="3" applyNumberFormat="1" applyFont="1" applyFill="1" applyBorder="1" applyAlignment="1">
      <alignment vertical="center"/>
    </xf>
    <xf numFmtId="166" fontId="6" fillId="7" borderId="3" xfId="3" applyNumberFormat="1" applyFont="1" applyFill="1" applyBorder="1" applyAlignment="1">
      <alignment vertical="center"/>
    </xf>
    <xf numFmtId="166" fontId="14" fillId="0" borderId="3" xfId="3" applyNumberFormat="1" applyFont="1" applyFill="1" applyBorder="1" applyAlignment="1">
      <alignment vertical="center"/>
    </xf>
    <xf numFmtId="166" fontId="10" fillId="8" borderId="3" xfId="3" applyNumberFormat="1" applyFont="1" applyFill="1" applyBorder="1" applyAlignment="1">
      <alignment vertical="center"/>
    </xf>
    <xf numFmtId="166" fontId="6" fillId="8" borderId="3" xfId="3" applyNumberFormat="1" applyFont="1" applyFill="1" applyBorder="1" applyAlignment="1">
      <alignment vertical="center"/>
    </xf>
    <xf numFmtId="166" fontId="5" fillId="0" borderId="3" xfId="3" applyNumberFormat="1" applyBorder="1" applyAlignment="1">
      <alignment vertical="center"/>
    </xf>
    <xf numFmtId="0" fontId="7" fillId="0" borderId="0" xfId="0" applyFont="1" applyAlignment="1">
      <alignment horizontal="center"/>
    </xf>
    <xf numFmtId="4" fontId="0" fillId="6" borderId="3" xfId="3" applyNumberFormat="1" applyFont="1" applyFill="1" applyBorder="1" applyAlignment="1">
      <alignment vertical="center"/>
    </xf>
    <xf numFmtId="3" fontId="30" fillId="0" borderId="3" xfId="3" applyNumberFormat="1" applyFont="1" applyFill="1" applyBorder="1" applyAlignment="1">
      <alignment vertical="center"/>
    </xf>
    <xf numFmtId="0" fontId="0" fillId="0" borderId="3" xfId="2" applyFont="1" applyFill="1" applyBorder="1"/>
    <xf numFmtId="1" fontId="6" fillId="8" borderId="3" xfId="3" applyNumberFormat="1" applyFont="1" applyFill="1" applyBorder="1" applyAlignment="1">
      <alignment vertical="center"/>
    </xf>
    <xf numFmtId="1" fontId="5" fillId="0" borderId="3" xfId="3" applyNumberFormat="1" applyBorder="1" applyAlignment="1">
      <alignment vertical="center"/>
    </xf>
    <xf numFmtId="164" fontId="0" fillId="0" borderId="0" xfId="1" applyNumberFormat="1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165" fontId="6" fillId="0" borderId="0" xfId="1" applyNumberFormat="1" applyAlignment="1">
      <alignment horizontal="center"/>
    </xf>
    <xf numFmtId="165" fontId="6" fillId="0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wrapText="1"/>
    </xf>
    <xf numFmtId="165" fontId="10" fillId="0" borderId="0" xfId="1" applyNumberFormat="1" applyFont="1" applyAlignment="1">
      <alignment horizontal="right" wrapText="1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0" fillId="4" borderId="0" xfId="1" applyNumberFormat="1" applyFont="1" applyFill="1" applyBorder="1" applyAlignment="1">
      <alignment horizontal="right" vertical="center"/>
    </xf>
    <xf numFmtId="4" fontId="6" fillId="0" borderId="17" xfId="1" applyNumberFormat="1" applyFont="1" applyBorder="1"/>
    <xf numFmtId="4" fontId="6" fillId="0" borderId="17" xfId="1" applyNumberFormat="1" applyFont="1" applyBorder="1" applyAlignment="1">
      <alignment vertical="center"/>
    </xf>
    <xf numFmtId="164" fontId="6" fillId="0" borderId="17" xfId="1" applyNumberFormat="1" applyFont="1" applyBorder="1" applyAlignment="1">
      <alignment vertical="center"/>
    </xf>
    <xf numFmtId="165" fontId="6" fillId="0" borderId="17" xfId="1" applyNumberFormat="1" applyFont="1" applyBorder="1" applyAlignment="1">
      <alignment vertical="center"/>
    </xf>
    <xf numFmtId="164" fontId="6" fillId="0" borderId="0" xfId="1" applyNumberFormat="1" applyFont="1" applyAlignment="1"/>
    <xf numFmtId="165" fontId="6" fillId="0" borderId="0" xfId="1" applyNumberFormat="1" applyFont="1" applyAlignment="1">
      <alignment horizontal="center"/>
    </xf>
    <xf numFmtId="0" fontId="8" fillId="0" borderId="3" xfId="1" applyFont="1" applyBorder="1" applyAlignment="1"/>
    <xf numFmtId="4" fontId="6" fillId="0" borderId="0" xfId="1" applyNumberFormat="1" applyFont="1" applyBorder="1" applyAlignment="1"/>
    <xf numFmtId="4" fontId="6" fillId="0" borderId="0" xfId="1" applyNumberFormat="1" applyFont="1" applyBorder="1"/>
    <xf numFmtId="4" fontId="10" fillId="0" borderId="3" xfId="1" applyNumberFormat="1" applyFont="1" applyBorder="1"/>
    <xf numFmtId="0" fontId="8" fillId="0" borderId="3" xfId="1" applyFont="1" applyBorder="1"/>
    <xf numFmtId="165" fontId="6" fillId="0" borderId="0" xfId="1" applyNumberFormat="1" applyFont="1" applyBorder="1" applyAlignment="1">
      <alignment horizontal="center" wrapText="1"/>
    </xf>
    <xf numFmtId="165" fontId="6" fillId="0" borderId="0" xfId="1" applyNumberFormat="1" applyBorder="1" applyAlignment="1">
      <alignment horizontal="center"/>
    </xf>
    <xf numFmtId="165" fontId="6" fillId="18" borderId="3" xfId="1" applyNumberFormat="1" applyFont="1" applyFill="1" applyBorder="1" applyAlignment="1">
      <alignment horizontal="right" vertical="center"/>
    </xf>
    <xf numFmtId="165" fontId="10" fillId="0" borderId="0" xfId="1" applyNumberFormat="1" applyFont="1" applyBorder="1" applyAlignment="1">
      <alignment horizontal="center"/>
    </xf>
    <xf numFmtId="166" fontId="10" fillId="0" borderId="0" xfId="1" applyNumberFormat="1" applyFont="1" applyFill="1" applyBorder="1" applyAlignment="1">
      <alignment vertical="center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165" fontId="6" fillId="0" borderId="0" xfId="1" applyNumberFormat="1" applyFont="1" applyAlignment="1">
      <alignment horizontal="center" wrapText="1"/>
    </xf>
    <xf numFmtId="0" fontId="6" fillId="9" borderId="0" xfId="0" applyFont="1" applyFill="1" applyAlignment="1">
      <alignment horizontal="left" vertical="center"/>
    </xf>
    <xf numFmtId="0" fontId="6" fillId="9" borderId="2" xfId="0" applyFont="1" applyFill="1" applyBorder="1" applyAlignment="1">
      <alignment vertical="center"/>
    </xf>
    <xf numFmtId="4" fontId="6" fillId="9" borderId="3" xfId="1" applyNumberFormat="1" applyFill="1" applyBorder="1"/>
    <xf numFmtId="4" fontId="6" fillId="9" borderId="3" xfId="1" applyNumberFormat="1" applyFont="1" applyFill="1" applyBorder="1"/>
    <xf numFmtId="164" fontId="6" fillId="9" borderId="3" xfId="1" applyNumberFormat="1" applyFont="1" applyFill="1" applyBorder="1"/>
    <xf numFmtId="0" fontId="6" fillId="9" borderId="2" xfId="0" applyFont="1" applyFill="1" applyBorder="1" applyAlignment="1">
      <alignment vertical="center" wrapText="1"/>
    </xf>
    <xf numFmtId="4" fontId="6" fillId="9" borderId="3" xfId="1" applyNumberFormat="1" applyFont="1" applyFill="1" applyBorder="1" applyAlignment="1">
      <alignment horizontal="right" vertical="center"/>
    </xf>
    <xf numFmtId="0" fontId="8" fillId="0" borderId="0" xfId="1" applyFont="1"/>
    <xf numFmtId="167" fontId="10" fillId="0" borderId="0" xfId="1" applyNumberFormat="1" applyFont="1" applyFill="1" applyBorder="1" applyAlignment="1">
      <alignment horizontal="right" vertical="center"/>
    </xf>
    <xf numFmtId="164" fontId="15" fillId="0" borderId="0" xfId="1" applyNumberFormat="1" applyFont="1"/>
    <xf numFmtId="165" fontId="15" fillId="0" borderId="0" xfId="1" applyNumberFormat="1" applyFont="1" applyAlignment="1">
      <alignment horizont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166" fontId="17" fillId="4" borderId="0" xfId="1" applyNumberFormat="1" applyFont="1" applyFill="1" applyBorder="1" applyAlignment="1">
      <alignment vertical="center"/>
    </xf>
    <xf numFmtId="0" fontId="6" fillId="0" borderId="0" xfId="1" applyFont="1" applyBorder="1"/>
    <xf numFmtId="4" fontId="6" fillId="0" borderId="6" xfId="1" applyNumberFormat="1" applyFont="1" applyBorder="1"/>
    <xf numFmtId="164" fontId="6" fillId="0" borderId="6" xfId="1" applyNumberFormat="1" applyFont="1" applyBorder="1"/>
    <xf numFmtId="165" fontId="6" fillId="0" borderId="6" xfId="1" applyNumberFormat="1" applyFont="1" applyBorder="1" applyAlignment="1">
      <alignment horizontal="right"/>
    </xf>
    <xf numFmtId="4" fontId="6" fillId="0" borderId="3" xfId="1" applyNumberFormat="1" applyFill="1" applyBorder="1"/>
    <xf numFmtId="166" fontId="10" fillId="4" borderId="7" xfId="1" applyNumberFormat="1" applyFont="1" applyFill="1" applyBorder="1" applyAlignment="1">
      <alignment vertical="center"/>
    </xf>
    <xf numFmtId="4" fontId="10" fillId="3" borderId="7" xfId="1" applyNumberFormat="1" applyFont="1" applyFill="1" applyBorder="1" applyAlignment="1">
      <alignment vertical="center"/>
    </xf>
    <xf numFmtId="166" fontId="10" fillId="3" borderId="7" xfId="1" applyNumberFormat="1" applyFont="1" applyFill="1" applyBorder="1" applyAlignment="1">
      <alignment vertical="center"/>
    </xf>
    <xf numFmtId="4" fontId="10" fillId="3" borderId="7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" fontId="6" fillId="0" borderId="6" xfId="1" applyNumberFormat="1" applyFill="1" applyBorder="1"/>
    <xf numFmtId="4" fontId="6" fillId="0" borderId="6" xfId="1" applyNumberFormat="1" applyFont="1" applyFill="1" applyBorder="1"/>
    <xf numFmtId="164" fontId="6" fillId="0" borderId="6" xfId="1" applyNumberFormat="1" applyFont="1" applyFill="1" applyBorder="1"/>
    <xf numFmtId="165" fontId="6" fillId="0" borderId="0" xfId="1" applyNumberFormat="1" applyFont="1" applyFill="1" applyAlignment="1">
      <alignment horizontal="center" wrapText="1"/>
    </xf>
    <xf numFmtId="0" fontId="10" fillId="0" borderId="0" xfId="1" applyFont="1" applyFill="1" applyAlignment="1">
      <alignment vertical="center" wrapText="1"/>
    </xf>
    <xf numFmtId="164" fontId="10" fillId="0" borderId="0" xfId="1" applyNumberFormat="1" applyFont="1" applyFill="1" applyAlignment="1">
      <alignment wrapText="1"/>
    </xf>
    <xf numFmtId="165" fontId="10" fillId="0" borderId="0" xfId="1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0" fontId="4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4" fontId="6" fillId="0" borderId="0" xfId="0" applyNumberFormat="1" applyFont="1"/>
    <xf numFmtId="164" fontId="0" fillId="4" borderId="0" xfId="1" applyNumberFormat="1" applyFont="1" applyFill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Border="1"/>
    <xf numFmtId="1" fontId="6" fillId="0" borderId="3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vertical="center"/>
    </xf>
    <xf numFmtId="0" fontId="0" fillId="0" borderId="0" xfId="0" applyBorder="1" applyAlignment="1"/>
    <xf numFmtId="3" fontId="6" fillId="0" borderId="3" xfId="1" applyNumberFormat="1" applyBorder="1"/>
    <xf numFmtId="3" fontId="6" fillId="0" borderId="3" xfId="1" applyNumberFormat="1" applyBorder="1" applyAlignment="1">
      <alignment vertical="center"/>
    </xf>
    <xf numFmtId="0" fontId="0" fillId="0" borderId="3" xfId="1" applyFont="1" applyFill="1" applyBorder="1" applyAlignment="1"/>
    <xf numFmtId="0" fontId="0" fillId="0" borderId="2" xfId="0" applyBorder="1" applyAlignment="1">
      <alignment vertical="center" wrapText="1"/>
    </xf>
    <xf numFmtId="2" fontId="0" fillId="0" borderId="3" xfId="1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6" fillId="0" borderId="4" xfId="1" applyNumberFormat="1" applyFont="1" applyBorder="1" applyAlignment="1">
      <alignment wrapText="1"/>
    </xf>
    <xf numFmtId="164" fontId="6" fillId="0" borderId="6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horizontal="center" wrapText="1"/>
    </xf>
    <xf numFmtId="2" fontId="6" fillId="9" borderId="3" xfId="1" applyNumberFormat="1" applyFont="1" applyFill="1" applyBorder="1"/>
    <xf numFmtId="1" fontId="6" fillId="0" borderId="3" xfId="1" applyNumberFormat="1" applyFont="1" applyBorder="1" applyAlignment="1">
      <alignment horizontal="right" vertical="center"/>
    </xf>
    <xf numFmtId="1" fontId="10" fillId="3" borderId="0" xfId="1" applyNumberFormat="1" applyFont="1" applyFill="1" applyBorder="1" applyAlignment="1">
      <alignment horizontal="right" vertical="center"/>
    </xf>
    <xf numFmtId="1" fontId="6" fillId="0" borderId="3" xfId="1" applyNumberFormat="1" applyFont="1" applyBorder="1" applyAlignment="1">
      <alignment wrapText="1"/>
    </xf>
    <xf numFmtId="0" fontId="10" fillId="2" borderId="0" xfId="1" applyFont="1" applyFill="1" applyAlignment="1">
      <alignment vertical="center" wrapText="1"/>
    </xf>
    <xf numFmtId="4" fontId="6" fillId="0" borderId="0" xfId="1" applyNumberFormat="1" applyFont="1" applyBorder="1" applyAlignment="1">
      <alignment vertical="center"/>
    </xf>
    <xf numFmtId="0" fontId="0" fillId="18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" xfId="0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horizontal="right" vertical="center"/>
    </xf>
    <xf numFmtId="166" fontId="36" fillId="3" borderId="0" xfId="1" applyNumberFormat="1" applyFont="1" applyFill="1" applyBorder="1" applyAlignment="1">
      <alignment vertical="center"/>
    </xf>
    <xf numFmtId="0" fontId="10" fillId="2" borderId="0" xfId="1" applyFont="1" applyFill="1" applyAlignment="1">
      <alignment vertical="center" wrapText="1"/>
    </xf>
    <xf numFmtId="0" fontId="0" fillId="0" borderId="0" xfId="0" applyAlignment="1"/>
    <xf numFmtId="0" fontId="10" fillId="17" borderId="0" xfId="1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4" fontId="6" fillId="0" borderId="6" xfId="1" applyNumberFormat="1" applyBorder="1"/>
    <xf numFmtId="166" fontId="10" fillId="5" borderId="7" xfId="1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3" xfId="0" applyBorder="1" applyAlignment="1">
      <alignment horizontal="center" vertical="center" wrapText="1"/>
    </xf>
    <xf numFmtId="0" fontId="3" fillId="0" borderId="0" xfId="3" applyFont="1"/>
    <xf numFmtId="0" fontId="0" fillId="0" borderId="0" xfId="2" applyFont="1"/>
    <xf numFmtId="164" fontId="0" fillId="0" borderId="3" xfId="1" applyNumberFormat="1" applyFont="1" applyBorder="1"/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0" fillId="0" borderId="0" xfId="1" applyNumberFormat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10" fillId="0" borderId="0" xfId="1" applyNumberFormat="1" applyFont="1" applyAlignment="1">
      <alignment wrapText="1"/>
    </xf>
    <xf numFmtId="4" fontId="0" fillId="0" borderId="3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wrapText="1"/>
    </xf>
    <xf numFmtId="4" fontId="7" fillId="0" borderId="0" xfId="1" applyNumberFormat="1" applyFont="1"/>
    <xf numFmtId="4" fontId="6" fillId="0" borderId="0" xfId="1" applyNumberFormat="1" applyFont="1" applyFill="1" applyAlignment="1">
      <alignment wrapText="1"/>
    </xf>
    <xf numFmtId="4" fontId="10" fillId="0" borderId="0" xfId="1" applyNumberFormat="1" applyFont="1" applyFill="1" applyAlignment="1">
      <alignment vertical="center" wrapText="1"/>
    </xf>
    <xf numFmtId="4" fontId="10" fillId="0" borderId="0" xfId="1" applyNumberFormat="1" applyFont="1" applyFill="1" applyAlignment="1">
      <alignment wrapText="1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 applyAlignment="1">
      <alignment wrapText="1"/>
    </xf>
    <xf numFmtId="4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wrapText="1"/>
    </xf>
    <xf numFmtId="168" fontId="6" fillId="0" borderId="3" xfId="1" applyNumberFormat="1" applyBorder="1" applyAlignment="1">
      <alignment vertical="center"/>
    </xf>
    <xf numFmtId="168" fontId="6" fillId="0" borderId="3" xfId="1" applyNumberFormat="1" applyFont="1" applyBorder="1"/>
    <xf numFmtId="168" fontId="6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horizontal="right" vertical="center"/>
    </xf>
    <xf numFmtId="166" fontId="0" fillId="0" borderId="0" xfId="0" applyNumberFormat="1" applyAlignment="1"/>
    <xf numFmtId="170" fontId="0" fillId="0" borderId="0" xfId="0" applyNumberFormat="1" applyAlignment="1"/>
    <xf numFmtId="164" fontId="6" fillId="0" borderId="3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vertical="center"/>
    </xf>
    <xf numFmtId="164" fontId="0" fillId="0" borderId="3" xfId="1" applyNumberFormat="1" applyFont="1" applyFill="1" applyBorder="1"/>
    <xf numFmtId="0" fontId="0" fillId="0" borderId="0" xfId="0" applyAlignment="1"/>
    <xf numFmtId="166" fontId="17" fillId="0" borderId="0" xfId="1" applyNumberFormat="1" applyFont="1" applyFill="1" applyBorder="1" applyAlignment="1">
      <alignment vertical="center"/>
    </xf>
    <xf numFmtId="170" fontId="10" fillId="0" borderId="0" xfId="1" applyNumberFormat="1" applyFont="1" applyAlignment="1">
      <alignment wrapText="1"/>
    </xf>
    <xf numFmtId="0" fontId="0" fillId="0" borderId="0" xfId="0" applyAlignment="1"/>
    <xf numFmtId="0" fontId="0" fillId="0" borderId="0" xfId="0" applyAlignment="1"/>
    <xf numFmtId="4" fontId="0" fillId="0" borderId="4" xfId="1" applyNumberFormat="1" applyFont="1" applyBorder="1" applyAlignment="1">
      <alignment wrapText="1"/>
    </xf>
    <xf numFmtId="0" fontId="44" fillId="0" borderId="0" xfId="6" applyFont="1" applyAlignment="1" applyProtection="1"/>
    <xf numFmtId="168" fontId="6" fillId="0" borderId="3" xfId="1" applyNumberFormat="1" applyFont="1" applyFill="1" applyBorder="1"/>
    <xf numFmtId="166" fontId="36" fillId="4" borderId="0" xfId="1" applyNumberFormat="1" applyFont="1" applyFill="1" applyBorder="1" applyAlignment="1">
      <alignment vertical="center"/>
    </xf>
    <xf numFmtId="168" fontId="0" fillId="0" borderId="0" xfId="0" applyNumberFormat="1"/>
    <xf numFmtId="171" fontId="0" fillId="0" borderId="0" xfId="0" applyNumberFormat="1"/>
    <xf numFmtId="0" fontId="0" fillId="0" borderId="0" xfId="0" applyAlignment="1"/>
    <xf numFmtId="166" fontId="10" fillId="0" borderId="0" xfId="1" applyNumberFormat="1" applyFont="1" applyAlignment="1">
      <alignment wrapText="1"/>
    </xf>
    <xf numFmtId="4" fontId="6" fillId="0" borderId="3" xfId="1" applyNumberFormat="1" applyFill="1" applyBorder="1" applyAlignment="1">
      <alignment vertical="center"/>
    </xf>
    <xf numFmtId="4" fontId="6" fillId="0" borderId="3" xfId="1" applyNumberFormat="1" applyFont="1" applyFill="1" applyBorder="1" applyAlignment="1">
      <alignment vertical="center"/>
    </xf>
    <xf numFmtId="168" fontId="6" fillId="0" borderId="3" xfId="1" applyNumberFormat="1" applyFont="1" applyFill="1" applyBorder="1" applyAlignment="1">
      <alignment vertical="center"/>
    </xf>
    <xf numFmtId="0" fontId="0" fillId="0" borderId="0" xfId="0" applyAlignment="1"/>
    <xf numFmtId="4" fontId="0" fillId="7" borderId="3" xfId="3" applyNumberFormat="1" applyFont="1" applyFill="1" applyBorder="1" applyAlignment="1">
      <alignment vertical="center"/>
    </xf>
    <xf numFmtId="4" fontId="0" fillId="0" borderId="0" xfId="0" applyNumberFormat="1" applyAlignment="1"/>
    <xf numFmtId="4" fontId="31" fillId="19" borderId="3" xfId="3" applyNumberFormat="1" applyFont="1" applyFill="1" applyBorder="1" applyAlignment="1">
      <alignment vertical="center"/>
    </xf>
    <xf numFmtId="166" fontId="14" fillId="19" borderId="3" xfId="3" applyNumberFormat="1" applyFont="1" applyFill="1" applyBorder="1" applyAlignment="1">
      <alignment vertical="center"/>
    </xf>
    <xf numFmtId="4" fontId="14" fillId="19" borderId="3" xfId="3" applyNumberFormat="1" applyFont="1" applyFill="1" applyBorder="1" applyAlignment="1">
      <alignment vertical="center"/>
    </xf>
    <xf numFmtId="0" fontId="0" fillId="0" borderId="0" xfId="0" applyAlignment="1"/>
    <xf numFmtId="4" fontId="0" fillId="0" borderId="0" xfId="0" applyNumberFormat="1" applyAlignment="1"/>
    <xf numFmtId="166" fontId="17" fillId="0" borderId="0" xfId="1" applyNumberFormat="1" applyFont="1" applyAlignment="1">
      <alignment wrapText="1"/>
    </xf>
    <xf numFmtId="4" fontId="17" fillId="0" borderId="0" xfId="1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0" xfId="0" applyFont="1" applyFill="1" applyBorder="1" applyAlignment="1">
      <alignment horizontal="right" vertical="center"/>
    </xf>
    <xf numFmtId="168" fontId="6" fillId="9" borderId="3" xfId="1" applyNumberFormat="1" applyFont="1" applyFill="1" applyBorder="1" applyAlignment="1">
      <alignment horizontal="right" vertical="center"/>
    </xf>
    <xf numFmtId="49" fontId="2" fillId="0" borderId="1" xfId="3" applyNumberFormat="1" applyFont="1" applyBorder="1" applyAlignment="1">
      <alignment horizontal="center" vertical="center"/>
    </xf>
    <xf numFmtId="0" fontId="0" fillId="0" borderId="0" xfId="0" applyAlignment="1"/>
    <xf numFmtId="166" fontId="10" fillId="5" borderId="0" xfId="1" applyNumberFormat="1" applyFont="1" applyFill="1" applyBorder="1" applyAlignment="1">
      <alignment vertical="center"/>
    </xf>
    <xf numFmtId="166" fontId="6" fillId="0" borderId="3" xfId="1" applyNumberFormat="1" applyBorder="1"/>
    <xf numFmtId="166" fontId="6" fillId="0" borderId="3" xfId="1" applyNumberFormat="1" applyBorder="1" applyAlignment="1">
      <alignment vertical="center"/>
    </xf>
    <xf numFmtId="4" fontId="10" fillId="5" borderId="0" xfId="1" applyNumberFormat="1" applyFont="1" applyFill="1" applyBorder="1" applyAlignment="1">
      <alignment horizontal="left" vertical="center"/>
    </xf>
    <xf numFmtId="4" fontId="10" fillId="5" borderId="0" xfId="1" applyNumberFormat="1" applyFont="1" applyFill="1" applyBorder="1" applyAlignment="1">
      <alignment vertical="center"/>
    </xf>
    <xf numFmtId="0" fontId="0" fillId="5" borderId="0" xfId="1" applyFont="1" applyFill="1" applyBorder="1" applyAlignment="1">
      <alignment wrapText="1"/>
    </xf>
    <xf numFmtId="166" fontId="39" fillId="3" borderId="0" xfId="1" applyNumberFormat="1" applyFont="1" applyFill="1" applyBorder="1" applyAlignment="1">
      <alignment vertical="center"/>
    </xf>
    <xf numFmtId="3" fontId="6" fillId="7" borderId="3" xfId="3" applyNumberFormat="1" applyFont="1" applyFill="1" applyBorder="1" applyAlignment="1">
      <alignment vertical="center"/>
    </xf>
    <xf numFmtId="4" fontId="0" fillId="0" borderId="0" xfId="0" applyNumberFormat="1" applyAlignment="1"/>
    <xf numFmtId="0" fontId="0" fillId="0" borderId="0" xfId="0" applyAlignment="1"/>
    <xf numFmtId="0" fontId="0" fillId="0" borderId="0" xfId="0" applyAlignment="1"/>
    <xf numFmtId="164" fontId="0" fillId="0" borderId="0" xfId="0" applyNumberFormat="1" applyAlignment="1"/>
    <xf numFmtId="0" fontId="0" fillId="0" borderId="2" xfId="0" applyFont="1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166" fontId="36" fillId="0" borderId="0" xfId="1" applyNumberFormat="1" applyFont="1" applyAlignment="1">
      <alignment wrapText="1"/>
    </xf>
    <xf numFmtId="0" fontId="0" fillId="0" borderId="0" xfId="0" applyAlignment="1"/>
    <xf numFmtId="0" fontId="17" fillId="0" borderId="0" xfId="2" applyFont="1" applyFill="1"/>
    <xf numFmtId="0" fontId="16" fillId="0" borderId="0" xfId="2" applyFont="1" applyFill="1"/>
    <xf numFmtId="0" fontId="0" fillId="0" borderId="0" xfId="0" applyAlignment="1"/>
    <xf numFmtId="0" fontId="45" fillId="8" borderId="0" xfId="6" applyFont="1" applyFill="1" applyAlignment="1" applyProtection="1">
      <alignment horizontal="center" vertical="center"/>
    </xf>
    <xf numFmtId="0" fontId="0" fillId="0" borderId="0" xfId="1" applyFont="1" applyFill="1" applyBorder="1" applyAlignment="1">
      <alignment wrapText="1"/>
    </xf>
    <xf numFmtId="164" fontId="6" fillId="0" borderId="0" xfId="1" applyNumberFormat="1" applyFill="1"/>
    <xf numFmtId="165" fontId="6" fillId="0" borderId="0" xfId="1" applyNumberFormat="1" applyFill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0" fillId="0" borderId="0" xfId="0" applyAlignment="1"/>
    <xf numFmtId="0" fontId="19" fillId="6" borderId="3" xfId="2" applyFill="1" applyBorder="1" applyAlignment="1">
      <alignment vertical="center"/>
    </xf>
    <xf numFmtId="164" fontId="6" fillId="6" borderId="3" xfId="1" applyNumberFormat="1" applyFont="1" applyFill="1" applyBorder="1" applyAlignment="1">
      <alignment horizontal="center" vertical="center" wrapText="1"/>
    </xf>
    <xf numFmtId="4" fontId="0" fillId="6" borderId="3" xfId="0" applyNumberFormat="1" applyFill="1" applyBorder="1" applyAlignment="1"/>
    <xf numFmtId="4" fontId="10" fillId="6" borderId="3" xfId="0" applyNumberFormat="1" applyFont="1" applyFill="1" applyBorder="1" applyAlignment="1"/>
    <xf numFmtId="4" fontId="19" fillId="6" borderId="3" xfId="2" applyNumberFormat="1" applyFill="1" applyBorder="1" applyAlignment="1">
      <alignment vertical="center"/>
    </xf>
    <xf numFmtId="4" fontId="0" fillId="6" borderId="3" xfId="2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/>
    <xf numFmtId="4" fontId="0" fillId="6" borderId="3" xfId="0" applyNumberFormat="1" applyFill="1" applyBorder="1"/>
    <xf numFmtId="4" fontId="10" fillId="6" borderId="3" xfId="0" applyNumberFormat="1" applyFont="1" applyFill="1" applyBorder="1"/>
    <xf numFmtId="4" fontId="0" fillId="0" borderId="16" xfId="0" applyNumberFormat="1" applyFill="1" applyBorder="1"/>
    <xf numFmtId="4" fontId="10" fillId="6" borderId="3" xfId="0" applyNumberFormat="1" applyFont="1" applyFill="1" applyBorder="1" applyAlignment="1">
      <alignment vertical="center"/>
    </xf>
    <xf numFmtId="0" fontId="10" fillId="0" borderId="0" xfId="0" applyFont="1"/>
    <xf numFmtId="4" fontId="6" fillId="0" borderId="0" xfId="0" applyNumberFormat="1" applyFont="1"/>
    <xf numFmtId="0" fontId="10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0" fontId="6" fillId="0" borderId="3" xfId="5" applyFont="1" applyFill="1" applyBorder="1"/>
    <xf numFmtId="0" fontId="16" fillId="0" borderId="3" xfId="5" applyFont="1" applyFill="1" applyBorder="1"/>
    <xf numFmtId="4" fontId="6" fillId="0" borderId="3" xfId="5" applyNumberFormat="1" applyFont="1" applyFill="1" applyBorder="1"/>
    <xf numFmtId="4" fontId="6" fillId="0" borderId="9" xfId="5" applyNumberFormat="1" applyFont="1" applyFill="1" applyBorder="1"/>
    <xf numFmtId="0" fontId="6" fillId="0" borderId="3" xfId="5" applyFill="1" applyBorder="1"/>
    <xf numFmtId="4" fontId="6" fillId="0" borderId="3" xfId="5" applyNumberFormat="1" applyFill="1" applyBorder="1"/>
    <xf numFmtId="4" fontId="0" fillId="0" borderId="3" xfId="0" applyNumberFormat="1" applyBorder="1" applyAlignment="1">
      <alignment vertical="center"/>
    </xf>
    <xf numFmtId="0" fontId="35" fillId="0" borderId="3" xfId="5" applyFont="1" applyFill="1" applyBorder="1"/>
    <xf numFmtId="0" fontId="16" fillId="0" borderId="3" xfId="5" applyFont="1" applyBorder="1"/>
    <xf numFmtId="4" fontId="6" fillId="0" borderId="3" xfId="5" applyNumberFormat="1" applyBorder="1"/>
    <xf numFmtId="0" fontId="6" fillId="0" borderId="3" xfId="5" applyFont="1" applyBorder="1"/>
    <xf numFmtId="0" fontId="6" fillId="0" borderId="3" xfId="5" applyBorder="1"/>
    <xf numFmtId="0" fontId="6" fillId="0" borderId="3" xfId="5" applyBorder="1" applyAlignment="1">
      <alignment vertical="center" wrapText="1"/>
    </xf>
    <xf numFmtId="4" fontId="6" fillId="0" borderId="3" xfId="5" applyNumberFormat="1" applyBorder="1" applyAlignment="1">
      <alignment vertical="center"/>
    </xf>
    <xf numFmtId="4" fontId="10" fillId="6" borderId="3" xfId="2" applyNumberFormat="1" applyFont="1" applyFill="1" applyBorder="1" applyAlignment="1">
      <alignment vertical="center"/>
    </xf>
    <xf numFmtId="0" fontId="0" fillId="0" borderId="3" xfId="5" applyFont="1" applyBorder="1"/>
    <xf numFmtId="0" fontId="0" fillId="0" borderId="3" xfId="5" applyFont="1" applyBorder="1" applyAlignment="1">
      <alignment wrapText="1"/>
    </xf>
    <xf numFmtId="4" fontId="0" fillId="6" borderId="3" xfId="0" applyNumberFormat="1" applyFill="1" applyBorder="1" applyAlignment="1">
      <alignment vertical="center"/>
    </xf>
    <xf numFmtId="0" fontId="19" fillId="6" borderId="3" xfId="2" applyFill="1" applyBorder="1" applyAlignment="1">
      <alignment horizontal="center" vertical="center" wrapText="1"/>
    </xf>
    <xf numFmtId="4" fontId="47" fillId="4" borderId="3" xfId="3" applyNumberFormat="1" applyFont="1" applyFill="1" applyBorder="1"/>
    <xf numFmtId="4" fontId="5" fillId="4" borderId="3" xfId="3" applyNumberFormat="1" applyFill="1" applyBorder="1"/>
    <xf numFmtId="4" fontId="46" fillId="4" borderId="3" xfId="3" applyNumberFormat="1" applyFont="1" applyFill="1" applyBorder="1"/>
    <xf numFmtId="4" fontId="48" fillId="4" borderId="3" xfId="3" applyNumberFormat="1" applyFont="1" applyFill="1" applyBorder="1"/>
    <xf numFmtId="4" fontId="5" fillId="0" borderId="3" xfId="3" applyNumberFormat="1" applyFill="1" applyBorder="1"/>
    <xf numFmtId="4" fontId="4" fillId="0" borderId="3" xfId="2" applyNumberFormat="1" applyFont="1" applyFill="1" applyBorder="1"/>
    <xf numFmtId="0" fontId="1" fillId="0" borderId="0" xfId="3" applyFont="1"/>
    <xf numFmtId="0" fontId="1" fillId="0" borderId="0" xfId="2" applyFont="1" applyFill="1"/>
    <xf numFmtId="4" fontId="4" fillId="0" borderId="3" xfId="2" applyNumberFormat="1" applyFont="1" applyFill="1" applyBorder="1" applyAlignment="1">
      <alignment vertical="center"/>
    </xf>
    <xf numFmtId="0" fontId="16" fillId="0" borderId="0" xfId="2" applyFont="1" applyFill="1" applyAlignment="1">
      <alignment horizontal="right"/>
    </xf>
    <xf numFmtId="0" fontId="16" fillId="0" borderId="0" xfId="2" applyFont="1" applyFill="1" applyAlignment="1">
      <alignment horizontal="center"/>
    </xf>
    <xf numFmtId="0" fontId="0" fillId="0" borderId="0" xfId="0" applyAlignment="1"/>
    <xf numFmtId="0" fontId="0" fillId="0" borderId="3" xfId="5" applyFont="1" applyFill="1" applyBorder="1"/>
    <xf numFmtId="4" fontId="49" fillId="4" borderId="3" xfId="3" applyNumberFormat="1" applyFont="1" applyFill="1" applyBorder="1"/>
    <xf numFmtId="0" fontId="50" fillId="8" borderId="0" xfId="6" applyFont="1" applyFill="1" applyAlignment="1" applyProtection="1">
      <alignment horizontal="center" vertical="center"/>
    </xf>
    <xf numFmtId="0" fontId="21" fillId="0" borderId="0" xfId="2" applyFont="1" applyFill="1" applyBorder="1"/>
    <xf numFmtId="4" fontId="51" fillId="0" borderId="0" xfId="2" applyNumberFormat="1" applyFont="1" applyBorder="1"/>
    <xf numFmtId="0" fontId="20" fillId="6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51" fillId="0" borderId="3" xfId="2" applyNumberFormat="1" applyFont="1" applyBorder="1" applyAlignment="1">
      <alignment vertical="center"/>
    </xf>
    <xf numFmtId="0" fontId="20" fillId="0" borderId="3" xfId="2" applyFont="1" applyFill="1" applyBorder="1" applyAlignment="1">
      <alignment vertical="center"/>
    </xf>
    <xf numFmtId="0" fontId="10" fillId="9" borderId="3" xfId="3" applyFont="1" applyFill="1" applyBorder="1" applyAlignment="1">
      <alignment horizontal="left"/>
    </xf>
    <xf numFmtId="0" fontId="19" fillId="0" borderId="0" xfId="2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172" fontId="52" fillId="6" borderId="3" xfId="2" applyNumberFormat="1" applyFont="1" applyFill="1" applyBorder="1" applyAlignment="1">
      <alignment vertical="center"/>
    </xf>
    <xf numFmtId="4" fontId="54" fillId="0" borderId="3" xfId="6" applyNumberFormat="1" applyFont="1" applyFill="1" applyBorder="1" applyAlignment="1" applyProtection="1">
      <alignment vertical="center"/>
    </xf>
    <xf numFmtId="0" fontId="54" fillId="0" borderId="3" xfId="6" applyFont="1" applyFill="1" applyBorder="1" applyAlignment="1" applyProtection="1">
      <alignment vertical="center"/>
    </xf>
    <xf numFmtId="0" fontId="6" fillId="0" borderId="3" xfId="2" applyFont="1" applyFill="1" applyBorder="1" applyAlignment="1">
      <alignment vertical="center"/>
    </xf>
    <xf numFmtId="0" fontId="54" fillId="0" borderId="3" xfId="6" applyFont="1" applyBorder="1" applyAlignment="1" applyProtection="1">
      <alignment wrapText="1"/>
    </xf>
    <xf numFmtId="0" fontId="54" fillId="0" borderId="3" xfId="6" applyFont="1" applyBorder="1" applyAlignment="1" applyProtection="1"/>
    <xf numFmtId="0" fontId="55" fillId="0" borderId="3" xfId="0" applyFont="1" applyFill="1" applyBorder="1" applyAlignment="1">
      <alignment horizontal="right" vertical="center"/>
    </xf>
    <xf numFmtId="0" fontId="54" fillId="0" borderId="3" xfId="6" applyFont="1" applyFill="1" applyBorder="1" applyAlignment="1" applyProtection="1">
      <alignment vertical="center" wrapText="1"/>
    </xf>
    <xf numFmtId="0" fontId="54" fillId="0" borderId="3" xfId="6" applyFont="1" applyFill="1" applyBorder="1" applyAlignment="1" applyProtection="1">
      <alignment horizontal="left" vertical="center" wrapText="1"/>
    </xf>
    <xf numFmtId="0" fontId="54" fillId="0" borderId="3" xfId="6" applyFont="1" applyFill="1" applyBorder="1" applyAlignment="1" applyProtection="1">
      <alignment horizontal="left" vertical="center"/>
    </xf>
    <xf numFmtId="0" fontId="53" fillId="0" borderId="3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166" fontId="9" fillId="5" borderId="0" xfId="0" applyNumberFormat="1" applyFont="1" applyFill="1" applyAlignment="1">
      <alignment vertical="center"/>
    </xf>
    <xf numFmtId="0" fontId="0" fillId="0" borderId="0" xfId="0" applyAlignment="1"/>
    <xf numFmtId="4" fontId="9" fillId="5" borderId="0" xfId="0" applyNumberFormat="1" applyFont="1" applyFill="1" applyAlignment="1">
      <alignment vertical="center"/>
    </xf>
    <xf numFmtId="4" fontId="0" fillId="0" borderId="0" xfId="0" applyNumberFormat="1" applyAlignment="1"/>
    <xf numFmtId="0" fontId="25" fillId="0" borderId="0" xfId="3" applyFont="1" applyBorder="1" applyAlignment="1">
      <alignment horizontal="center" vertical="center"/>
    </xf>
    <xf numFmtId="0" fontId="5" fillId="0" borderId="0" xfId="3" applyAlignment="1"/>
    <xf numFmtId="0" fontId="5" fillId="0" borderId="0" xfId="3" applyBorder="1" applyAlignment="1"/>
    <xf numFmtId="0" fontId="6" fillId="0" borderId="0" xfId="2" applyFont="1" applyAlignment="1">
      <alignment wrapText="1"/>
    </xf>
    <xf numFmtId="0" fontId="19" fillId="0" borderId="0" xfId="2" applyAlignment="1"/>
    <xf numFmtId="0" fontId="6" fillId="0" borderId="0" xfId="2" applyFont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Alignment="1"/>
    <xf numFmtId="4" fontId="10" fillId="0" borderId="9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</cellXfs>
  <cellStyles count="7">
    <cellStyle name="Hypertextový odkaz" xfId="6" builtinId="8"/>
    <cellStyle name="normální" xfId="0" builtinId="0"/>
    <cellStyle name="normální 2" xfId="1"/>
    <cellStyle name="normální 2 2" xfId="4"/>
    <cellStyle name="normální 3" xfId="2"/>
    <cellStyle name="normální 3 2" xfId="3"/>
    <cellStyle name="normální 4" xfId="5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1"/>
  <sheetViews>
    <sheetView topLeftCell="A34" zoomScale="90" zoomScaleNormal="90" workbookViewId="0">
      <selection activeCell="AE60" sqref="AE60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5" width="11.5703125" style="84" hidden="1" customWidth="1"/>
    <col min="16" max="16" width="11.5703125" style="84" customWidth="1"/>
    <col min="17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6" width="11.5703125" style="84" customWidth="1"/>
    <col min="27" max="27" width="13.28515625" style="458" customWidth="1"/>
    <col min="28" max="28" width="2.28515625" style="458" customWidth="1"/>
    <col min="29" max="29" width="17" style="489" customWidth="1"/>
    <col min="30" max="30" width="2" customWidth="1"/>
    <col min="31" max="31" width="10.42578125" bestFit="1" customWidth="1"/>
    <col min="32" max="32" width="10.5703125" customWidth="1"/>
  </cols>
  <sheetData>
    <row r="1" spans="1:28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94"/>
      <c r="AB1" s="394"/>
    </row>
    <row r="2" spans="1:28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95"/>
      <c r="AB2" s="395"/>
    </row>
    <row r="3" spans="1:28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5"/>
      <c r="AB3" s="395"/>
    </row>
    <row r="4" spans="1:28" ht="58.5" customHeight="1">
      <c r="A4" s="75" t="s">
        <v>313</v>
      </c>
      <c r="B4" s="8" t="s">
        <v>310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 s="10" t="s">
        <v>309</v>
      </c>
      <c r="AA4" s="396" t="s">
        <v>7</v>
      </c>
      <c r="AB4" s="396"/>
    </row>
    <row r="5" spans="1:28" ht="13.5" customHeight="1">
      <c r="A5" s="75" t="s">
        <v>317</v>
      </c>
      <c r="B5" s="11" t="s">
        <v>318</v>
      </c>
      <c r="C5" s="13">
        <v>2</v>
      </c>
      <c r="D5" s="13">
        <v>1</v>
      </c>
      <c r="E5" s="14"/>
      <c r="F5" s="14"/>
      <c r="G5" s="14">
        <f>F5-E5</f>
        <v>0</v>
      </c>
      <c r="H5" s="14">
        <v>0.16700000000000001</v>
      </c>
      <c r="I5" s="14">
        <f>H5-F5</f>
        <v>0.16700000000000001</v>
      </c>
      <c r="J5" s="14">
        <v>0.16700000000000001</v>
      </c>
      <c r="K5" s="14">
        <f>J5-H5</f>
        <v>0</v>
      </c>
      <c r="L5" s="14">
        <v>0.16700000000000001</v>
      </c>
      <c r="M5" s="34">
        <f>L5-J5</f>
        <v>0</v>
      </c>
      <c r="N5" s="14">
        <v>0.16700000000000001</v>
      </c>
      <c r="O5" s="34">
        <f>N5-L5</f>
        <v>0</v>
      </c>
      <c r="P5" s="14">
        <v>0.16700000000000001</v>
      </c>
      <c r="Q5" s="14">
        <f>P5-N5</f>
        <v>0</v>
      </c>
      <c r="R5" s="14">
        <v>0.16700000000000001</v>
      </c>
      <c r="S5" s="34">
        <f>R5-P5</f>
        <v>0</v>
      </c>
      <c r="T5" s="14"/>
      <c r="U5" s="14"/>
      <c r="V5" s="14"/>
      <c r="W5" s="461"/>
      <c r="X5" s="14"/>
      <c r="Y5" s="14">
        <f>E5+G5+I5+K5+M5+O5+Q5+S5+U5+W5</f>
        <v>0.16700000000000001</v>
      </c>
      <c r="Z5" s="15">
        <f>(Y5/C5)*100</f>
        <v>8.35</v>
      </c>
      <c r="AA5" s="15">
        <f>(Y5/D5)*100</f>
        <v>16.7</v>
      </c>
      <c r="AB5" s="464"/>
    </row>
    <row r="6" spans="1:28" ht="13.5" customHeight="1">
      <c r="B6" s="11" t="s">
        <v>319</v>
      </c>
      <c r="C6" s="13">
        <v>1</v>
      </c>
      <c r="D6" s="13">
        <v>2</v>
      </c>
      <c r="E6" s="14"/>
      <c r="F6" s="14">
        <v>1.7</v>
      </c>
      <c r="G6" s="14">
        <f>F6-E6</f>
        <v>1.7</v>
      </c>
      <c r="H6" s="14">
        <v>1.7</v>
      </c>
      <c r="I6" s="14">
        <f>H6-F6</f>
        <v>0</v>
      </c>
      <c r="J6" s="14">
        <v>1.7</v>
      </c>
      <c r="K6" s="14">
        <f>J6-H6</f>
        <v>0</v>
      </c>
      <c r="L6" s="14">
        <v>1.7</v>
      </c>
      <c r="M6" s="14">
        <f>L6-J6</f>
        <v>0</v>
      </c>
      <c r="N6" s="14">
        <v>1.7</v>
      </c>
      <c r="O6" s="14">
        <f>N6-L6</f>
        <v>0</v>
      </c>
      <c r="P6" s="14">
        <v>1.7</v>
      </c>
      <c r="Q6" s="14">
        <f>P6-N6</f>
        <v>0</v>
      </c>
      <c r="R6" s="14">
        <v>1.7</v>
      </c>
      <c r="S6" s="34">
        <f>R6-P6</f>
        <v>0</v>
      </c>
      <c r="T6" s="14"/>
      <c r="U6" s="14"/>
      <c r="V6" s="14"/>
      <c r="W6" s="461"/>
      <c r="X6" s="14"/>
      <c r="Y6" s="14">
        <f>E6+G6+I6+K6+M6+O6+Q6+S6+U6+W6</f>
        <v>1.7</v>
      </c>
      <c r="Z6" s="15">
        <f>(Y6/C6)*100</f>
        <v>170</v>
      </c>
      <c r="AA6" s="15">
        <f>(Y6/D6)*100</f>
        <v>85</v>
      </c>
      <c r="AB6" s="464"/>
    </row>
    <row r="7" spans="1:28" ht="13.5" customHeight="1">
      <c r="B7" s="11" t="s">
        <v>320</v>
      </c>
      <c r="C7" s="13">
        <v>22</v>
      </c>
      <c r="D7" s="13">
        <v>47</v>
      </c>
      <c r="E7" s="14">
        <v>11.53</v>
      </c>
      <c r="F7" s="14">
        <v>19.84</v>
      </c>
      <c r="G7" s="14">
        <f>F7-E7</f>
        <v>8.31</v>
      </c>
      <c r="H7" s="14">
        <v>18.73</v>
      </c>
      <c r="I7" s="14">
        <f>H7-F7</f>
        <v>-1.1099999999999994</v>
      </c>
      <c r="J7" s="14">
        <v>21.06</v>
      </c>
      <c r="K7" s="14">
        <f>J7-H7</f>
        <v>2.3299999999999983</v>
      </c>
      <c r="L7" s="14">
        <v>20.844000000000001</v>
      </c>
      <c r="M7" s="14">
        <f>L7-J7</f>
        <v>-0.21599999999999753</v>
      </c>
      <c r="N7" s="14">
        <v>28.283999999999999</v>
      </c>
      <c r="O7" s="14">
        <f>N7-L7</f>
        <v>7.4399999999999977</v>
      </c>
      <c r="P7" s="14">
        <v>27.803999999999998</v>
      </c>
      <c r="Q7" s="14">
        <f>P7-N7</f>
        <v>-0.48000000000000043</v>
      </c>
      <c r="R7" s="14">
        <v>29.574000000000002</v>
      </c>
      <c r="S7" s="34">
        <f>R7-P7</f>
        <v>1.7700000000000031</v>
      </c>
      <c r="T7" s="14"/>
      <c r="U7" s="14"/>
      <c r="V7" s="14"/>
      <c r="W7" s="461"/>
      <c r="X7" s="14"/>
      <c r="Y7" s="14">
        <f>E7+G7+I7+K7+M7+O7+Q7+S7+U7+W7</f>
        <v>29.574000000000002</v>
      </c>
      <c r="Z7" s="15">
        <f>(Y7/C7)*100</f>
        <v>134.42727272727274</v>
      </c>
      <c r="AA7" s="15">
        <f>(Y7/D7)*100</f>
        <v>62.923404255319149</v>
      </c>
      <c r="AB7" s="464"/>
    </row>
    <row r="8" spans="1:28" ht="13.5" customHeight="1">
      <c r="B8" s="18" t="s">
        <v>10</v>
      </c>
      <c r="C8" s="19">
        <f>SUM(C5:C7)</f>
        <v>25</v>
      </c>
      <c r="D8" s="19">
        <f>SUM(D5:D7)</f>
        <v>50</v>
      </c>
      <c r="E8" s="20">
        <f>SUM(E5:E7)</f>
        <v>11.53</v>
      </c>
      <c r="F8" s="20">
        <f t="shared" ref="F8:Y8" si="0">SUM(F5:F7)</f>
        <v>21.54</v>
      </c>
      <c r="G8" s="20">
        <f t="shared" si="0"/>
        <v>10.01</v>
      </c>
      <c r="H8" s="20">
        <f t="shared" si="0"/>
        <v>20.597000000000001</v>
      </c>
      <c r="I8" s="20">
        <f t="shared" si="0"/>
        <v>-0.94299999999999939</v>
      </c>
      <c r="J8" s="20">
        <f t="shared" si="0"/>
        <v>22.927</v>
      </c>
      <c r="K8" s="20">
        <f t="shared" si="0"/>
        <v>2.3299999999999983</v>
      </c>
      <c r="L8" s="20">
        <f t="shared" si="0"/>
        <v>22.711000000000002</v>
      </c>
      <c r="M8" s="20">
        <f t="shared" si="0"/>
        <v>-0.21599999999999753</v>
      </c>
      <c r="N8" s="20">
        <f t="shared" si="0"/>
        <v>30.151</v>
      </c>
      <c r="O8" s="20">
        <f t="shared" si="0"/>
        <v>7.4399999999999977</v>
      </c>
      <c r="P8" s="20">
        <f t="shared" si="0"/>
        <v>29.670999999999999</v>
      </c>
      <c r="Q8" s="20">
        <f t="shared" si="0"/>
        <v>-0.48000000000000043</v>
      </c>
      <c r="R8" s="20">
        <f t="shared" si="0"/>
        <v>31.441000000000003</v>
      </c>
      <c r="S8" s="20">
        <f t="shared" si="0"/>
        <v>1.7700000000000031</v>
      </c>
      <c r="T8" s="20">
        <f t="shared" si="0"/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/>
      <c r="Y8" s="20">
        <f t="shared" si="0"/>
        <v>31.441000000000003</v>
      </c>
      <c r="Z8" s="19">
        <f>(Y8/C8)*100</f>
        <v>125.76400000000001</v>
      </c>
      <c r="AA8" s="19">
        <f>(Y8/D8)*100</f>
        <v>62.882000000000005</v>
      </c>
      <c r="AB8"/>
    </row>
    <row r="9" spans="1:28" ht="17.25" customHeight="1">
      <c r="B9" s="4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95"/>
      <c r="AB9" s="395"/>
    </row>
    <row r="10" spans="1:28" ht="17.25" customHeight="1">
      <c r="B10" s="4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95"/>
      <c r="AB10" s="395"/>
    </row>
    <row r="11" spans="1:28" ht="42.75" customHeight="1">
      <c r="B11" s="8" t="s">
        <v>321</v>
      </c>
      <c r="C11" s="508" t="s">
        <v>314</v>
      </c>
      <c r="D11" s="507" t="s">
        <v>315</v>
      </c>
      <c r="E11" s="393" t="s">
        <v>523</v>
      </c>
      <c r="F11" s="393" t="s">
        <v>525</v>
      </c>
      <c r="G11" s="460" t="s">
        <v>534</v>
      </c>
      <c r="H11" s="393" t="s">
        <v>526</v>
      </c>
      <c r="I11" s="460" t="s">
        <v>535</v>
      </c>
      <c r="J11" s="393" t="s">
        <v>527</v>
      </c>
      <c r="K11" s="460" t="s">
        <v>536</v>
      </c>
      <c r="L11" s="393" t="s">
        <v>528</v>
      </c>
      <c r="M11" s="460" t="s">
        <v>537</v>
      </c>
      <c r="N11" s="393" t="s">
        <v>529</v>
      </c>
      <c r="O11" s="460" t="s">
        <v>538</v>
      </c>
      <c r="P11" s="393" t="s">
        <v>530</v>
      </c>
      <c r="Q11" s="460" t="s">
        <v>539</v>
      </c>
      <c r="R11" s="393" t="s">
        <v>531</v>
      </c>
      <c r="S11" s="460" t="s">
        <v>540</v>
      </c>
      <c r="T11" s="393" t="s">
        <v>532</v>
      </c>
      <c r="U11" s="460" t="s">
        <v>541</v>
      </c>
      <c r="V11" s="393" t="s">
        <v>533</v>
      </c>
      <c r="W11" s="460" t="s">
        <v>542</v>
      </c>
      <c r="X11" s="10"/>
      <c r="Y11" s="393" t="s">
        <v>543</v>
      </c>
      <c r="Z11" s="10" t="s">
        <v>309</v>
      </c>
      <c r="AA11" s="396" t="s">
        <v>7</v>
      </c>
      <c r="AB11" s="396"/>
    </row>
    <row r="12" spans="1:28">
      <c r="B12" s="21"/>
      <c r="C12" s="509"/>
      <c r="D12" s="50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397"/>
      <c r="AB12" s="397"/>
    </row>
    <row r="13" spans="1:28">
      <c r="B13" s="16" t="s">
        <v>11</v>
      </c>
      <c r="C13" s="23">
        <v>37320</v>
      </c>
      <c r="D13" s="23">
        <f>D14</f>
        <v>38529.54</v>
      </c>
      <c r="E13" s="531">
        <f>E61+E67+E80+E92+E153+E282+E319+E353+E376+E439+E444+E618+E623+E628</f>
        <v>715.84810000000004</v>
      </c>
      <c r="F13" s="541">
        <f>F61+F67+F80+F92+F153+F282+F319+F353+F376+F389+F439+F444+F618+F623+F628</f>
        <v>3192.9490800000003</v>
      </c>
      <c r="G13" s="541">
        <f>F13-E13</f>
        <v>2477.1009800000002</v>
      </c>
      <c r="H13" s="541">
        <f t="shared" ref="H13:W13" si="1">H61+H67+H80+H92+H153+H282+H319+H353+H376+H389+H439+H444+H618+H623+H628</f>
        <v>6743.6448100000007</v>
      </c>
      <c r="I13" s="541">
        <f t="shared" si="1"/>
        <v>3550.6957299999999</v>
      </c>
      <c r="J13" s="553">
        <f t="shared" si="1"/>
        <v>6798.6248100000012</v>
      </c>
      <c r="K13" s="531">
        <f t="shared" si="1"/>
        <v>54.980000000000032</v>
      </c>
      <c r="L13" s="531">
        <f t="shared" si="1"/>
        <v>9164.3187399999988</v>
      </c>
      <c r="M13" s="531">
        <f t="shared" si="1"/>
        <v>2365.6939299999999</v>
      </c>
      <c r="N13" s="531">
        <f t="shared" si="1"/>
        <v>9228.6651399999973</v>
      </c>
      <c r="O13" s="531">
        <f t="shared" si="1"/>
        <v>64.346400000000457</v>
      </c>
      <c r="P13" s="575">
        <f t="shared" si="1"/>
        <v>14926.59791</v>
      </c>
      <c r="Q13" s="541">
        <f t="shared" si="1"/>
        <v>5697.9327699999994</v>
      </c>
      <c r="R13" s="575">
        <f t="shared" si="1"/>
        <v>17434.891570000003</v>
      </c>
      <c r="S13" s="575">
        <f t="shared" si="1"/>
        <v>2508.2936599999998</v>
      </c>
      <c r="T13" s="531">
        <f t="shared" si="1"/>
        <v>0</v>
      </c>
      <c r="U13" s="531">
        <f t="shared" si="1"/>
        <v>0</v>
      </c>
      <c r="V13" s="531">
        <f t="shared" si="1"/>
        <v>0</v>
      </c>
      <c r="W13" s="531">
        <f t="shared" si="1"/>
        <v>0</v>
      </c>
      <c r="X13" s="22"/>
      <c r="Y13" s="22"/>
      <c r="Z13" s="22"/>
      <c r="AA13" s="398"/>
      <c r="AB13" s="398"/>
    </row>
    <row r="14" spans="1:28">
      <c r="B14" s="18" t="s">
        <v>10</v>
      </c>
      <c r="C14" s="19">
        <f>C61+C67+C80+C92+C153+C282+C319+C353+C376+C389+C439+C444+C618+C623+C628</f>
        <v>37320</v>
      </c>
      <c r="D14" s="19">
        <f>D61+D67+D80+D92+D153+D282+D319+D353+D376+D389+D439+D444+D618+D623+D628+D370+D613</f>
        <v>38529.54</v>
      </c>
      <c r="X14" s="22"/>
      <c r="Y14" s="76">
        <f>Y61+Y67+Y80+Y92+Y153+Y282+Y319+Y353+Y376+Y389+Y444+Y618+Y628+Y439+Y623+Y370+Y613</f>
        <v>17988.317740000006</v>
      </c>
      <c r="Z14" s="18">
        <f>(Y14/C14)*100</f>
        <v>48.200208306538066</v>
      </c>
      <c r="AA14" s="18">
        <f>(Y14/D14)*100</f>
        <v>46.687081496431063</v>
      </c>
      <c r="AB14" s="397"/>
    </row>
    <row r="15" spans="1:28" ht="17.25" customHeight="1">
      <c r="B15" s="4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395"/>
      <c r="AB15" s="395"/>
    </row>
    <row r="16" spans="1:28" ht="17.25" customHeight="1">
      <c r="B16" s="4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95"/>
      <c r="AB16" s="395"/>
    </row>
    <row r="17" spans="1:28" ht="39" customHeight="1">
      <c r="A17" s="75" t="s">
        <v>313</v>
      </c>
      <c r="B17" s="8" t="s">
        <v>322</v>
      </c>
      <c r="C17" s="507" t="s">
        <v>524</v>
      </c>
      <c r="D17" s="508" t="s">
        <v>315</v>
      </c>
      <c r="E17" s="393" t="s">
        <v>523</v>
      </c>
      <c r="F17" s="393" t="s">
        <v>525</v>
      </c>
      <c r="G17" s="460" t="s">
        <v>534</v>
      </c>
      <c r="H17" s="393" t="s">
        <v>526</v>
      </c>
      <c r="I17" s="460" t="s">
        <v>535</v>
      </c>
      <c r="J17" s="393" t="s">
        <v>527</v>
      </c>
      <c r="K17" s="460" t="s">
        <v>536</v>
      </c>
      <c r="L17" s="393" t="s">
        <v>528</v>
      </c>
      <c r="M17" s="460" t="s">
        <v>537</v>
      </c>
      <c r="N17" s="393" t="s">
        <v>529</v>
      </c>
      <c r="O17" s="460" t="s">
        <v>538</v>
      </c>
      <c r="P17" s="393" t="s">
        <v>530</v>
      </c>
      <c r="Q17" s="460" t="s">
        <v>539</v>
      </c>
      <c r="R17" s="393" t="s">
        <v>531</v>
      </c>
      <c r="S17" s="460" t="s">
        <v>540</v>
      </c>
      <c r="T17" s="393" t="s">
        <v>532</v>
      </c>
      <c r="U17" s="460" t="s">
        <v>541</v>
      </c>
      <c r="V17" s="393" t="s">
        <v>533</v>
      </c>
      <c r="W17" s="460" t="s">
        <v>542</v>
      </c>
      <c r="X17" s="10"/>
      <c r="Y17" s="393" t="s">
        <v>543</v>
      </c>
      <c r="Z17" s="10" t="s">
        <v>309</v>
      </c>
      <c r="AA17" s="396" t="s">
        <v>7</v>
      </c>
      <c r="AB17" s="396"/>
    </row>
    <row r="18" spans="1:28" ht="13.5" customHeight="1">
      <c r="A18" s="75" t="s">
        <v>323</v>
      </c>
      <c r="B18" s="11" t="s">
        <v>324</v>
      </c>
      <c r="C18" s="13">
        <v>483</v>
      </c>
      <c r="D18" s="13">
        <v>468</v>
      </c>
      <c r="E18" s="14">
        <v>77.978999999999999</v>
      </c>
      <c r="F18" s="14">
        <v>114.208</v>
      </c>
      <c r="G18" s="14">
        <f>F18-E18</f>
        <v>36.228999999999999</v>
      </c>
      <c r="H18" s="14">
        <v>151.10300000000001</v>
      </c>
      <c r="I18" s="14">
        <f>H18-F18</f>
        <v>36.89500000000001</v>
      </c>
      <c r="J18" s="14">
        <v>191.90100000000001</v>
      </c>
      <c r="K18" s="14">
        <f>J18-H18</f>
        <v>40.798000000000002</v>
      </c>
      <c r="L18" s="14">
        <v>234.32</v>
      </c>
      <c r="M18" s="34">
        <f t="shared" ref="M18:M35" si="2">L18-J18</f>
        <v>42.418999999999983</v>
      </c>
      <c r="N18" s="14">
        <v>269.93</v>
      </c>
      <c r="O18" s="34">
        <f t="shared" ref="O18:O35" si="3">N18-L18</f>
        <v>35.610000000000014</v>
      </c>
      <c r="P18" s="14">
        <v>306.53199999999998</v>
      </c>
      <c r="Q18" s="25">
        <f t="shared" ref="Q18:Q35" si="4">P18-N18</f>
        <v>36.601999999999975</v>
      </c>
      <c r="R18" s="14">
        <v>354.21499999999997</v>
      </c>
      <c r="S18" s="34">
        <f t="shared" ref="S18:S35" si="5">R18-P18</f>
        <v>47.682999999999993</v>
      </c>
      <c r="T18" s="14"/>
      <c r="U18" s="14"/>
      <c r="V18" s="14"/>
      <c r="W18" s="14"/>
      <c r="X18" s="14"/>
      <c r="Y18" s="14">
        <f>E18+G18+I18+K18+M18+O18+Q18+S18+U18+W18</f>
        <v>354.21499999999997</v>
      </c>
      <c r="Z18" s="26">
        <f t="shared" ref="Z18:Z36" si="6">(Y18/C18)*100</f>
        <v>73.336438923395448</v>
      </c>
      <c r="AA18" s="15">
        <f t="shared" ref="AA18:AA36" si="7">(Y18/D18)*100</f>
        <v>75.686965811965806</v>
      </c>
      <c r="AB18" s="464"/>
    </row>
    <row r="19" spans="1:28" ht="13.5" customHeight="1">
      <c r="B19" s="11" t="s">
        <v>325</v>
      </c>
      <c r="C19" s="13"/>
      <c r="D19" s="13">
        <v>15</v>
      </c>
      <c r="E19" s="462">
        <v>0</v>
      </c>
      <c r="F19" s="14"/>
      <c r="G19" s="14"/>
      <c r="H19" s="14"/>
      <c r="I19" s="14">
        <f t="shared" ref="I19:I34" si="8">H19-F19</f>
        <v>0</v>
      </c>
      <c r="J19" s="14">
        <v>1.125</v>
      </c>
      <c r="K19" s="14">
        <f t="shared" ref="K19:K35" si="9">J19-H19</f>
        <v>1.125</v>
      </c>
      <c r="L19" s="14">
        <v>8.625</v>
      </c>
      <c r="M19" s="34">
        <f t="shared" si="2"/>
        <v>7.5</v>
      </c>
      <c r="N19" s="14">
        <v>8.625</v>
      </c>
      <c r="O19" s="34">
        <f t="shared" si="3"/>
        <v>0</v>
      </c>
      <c r="P19" s="14">
        <v>8.625</v>
      </c>
      <c r="Q19" s="25">
        <f t="shared" si="4"/>
        <v>0</v>
      </c>
      <c r="R19" s="14">
        <v>8.625</v>
      </c>
      <c r="S19" s="34">
        <f t="shared" si="5"/>
        <v>0</v>
      </c>
      <c r="T19" s="14"/>
      <c r="U19" s="14"/>
      <c r="V19" s="14"/>
      <c r="W19" s="14"/>
      <c r="X19" s="14"/>
      <c r="Y19" s="14">
        <f t="shared" ref="Y19:Y35" si="10">E19+G19+I19+K19+M19+O19+Q19+S19+U19+W19</f>
        <v>8.625</v>
      </c>
      <c r="Z19" s="26"/>
      <c r="AA19" s="15">
        <f t="shared" si="7"/>
        <v>57.499999999999993</v>
      </c>
      <c r="AB19" s="464"/>
    </row>
    <row r="20" spans="1:28" ht="13.5" customHeight="1">
      <c r="B20" s="11" t="s">
        <v>326</v>
      </c>
      <c r="C20" s="13">
        <v>152</v>
      </c>
      <c r="D20" s="13">
        <v>152</v>
      </c>
      <c r="E20" s="14">
        <v>28.068000000000001</v>
      </c>
      <c r="F20" s="14">
        <v>41.183</v>
      </c>
      <c r="G20" s="14">
        <f t="shared" ref="G20:G35" si="11">F20-E20</f>
        <v>13.114999999999998</v>
      </c>
      <c r="H20" s="14">
        <v>54.570999999999998</v>
      </c>
      <c r="I20" s="14">
        <f t="shared" si="8"/>
        <v>13.387999999999998</v>
      </c>
      <c r="J20" s="14">
        <v>67.087000000000003</v>
      </c>
      <c r="K20" s="14">
        <f t="shared" si="9"/>
        <v>12.516000000000005</v>
      </c>
      <c r="L20" s="14">
        <v>82.45</v>
      </c>
      <c r="M20" s="34">
        <f t="shared" si="2"/>
        <v>15.363</v>
      </c>
      <c r="N20" s="14">
        <v>95.37</v>
      </c>
      <c r="O20" s="34">
        <f t="shared" si="3"/>
        <v>12.920000000000002</v>
      </c>
      <c r="P20" s="14">
        <v>108.645</v>
      </c>
      <c r="Q20" s="25">
        <f t="shared" si="4"/>
        <v>13.274999999999991</v>
      </c>
      <c r="R20" s="14">
        <v>125.878</v>
      </c>
      <c r="S20" s="34">
        <f t="shared" si="5"/>
        <v>17.233000000000004</v>
      </c>
      <c r="T20" s="14"/>
      <c r="U20" s="14"/>
      <c r="V20" s="14"/>
      <c r="W20" s="14"/>
      <c r="X20" s="14"/>
      <c r="Y20" s="14">
        <f t="shared" si="10"/>
        <v>125.878</v>
      </c>
      <c r="Z20" s="26">
        <f t="shared" si="6"/>
        <v>82.814473684210526</v>
      </c>
      <c r="AA20" s="15">
        <f t="shared" si="7"/>
        <v>82.814473684210526</v>
      </c>
      <c r="AB20" s="464"/>
    </row>
    <row r="21" spans="1:28" ht="13.5" customHeight="1">
      <c r="B21" s="11" t="s">
        <v>327</v>
      </c>
      <c r="C21" s="13">
        <v>65</v>
      </c>
      <c r="D21" s="13">
        <v>65</v>
      </c>
      <c r="E21" s="14">
        <v>12.032999999999999</v>
      </c>
      <c r="F21" s="14">
        <v>17.655000000000001</v>
      </c>
      <c r="G21" s="14">
        <f t="shared" si="11"/>
        <v>5.6220000000000017</v>
      </c>
      <c r="H21" s="14">
        <v>23.393000000000001</v>
      </c>
      <c r="I21" s="14">
        <f t="shared" si="8"/>
        <v>5.7379999999999995</v>
      </c>
      <c r="J21" s="14">
        <v>28.757999999999999</v>
      </c>
      <c r="K21" s="14">
        <f t="shared" si="9"/>
        <v>5.3649999999999984</v>
      </c>
      <c r="L21" s="14">
        <v>35.343000000000004</v>
      </c>
      <c r="M21" s="34">
        <f t="shared" si="2"/>
        <v>6.5850000000000044</v>
      </c>
      <c r="N21" s="14">
        <v>40.881</v>
      </c>
      <c r="O21" s="34">
        <f t="shared" si="3"/>
        <v>5.5379999999999967</v>
      </c>
      <c r="P21" s="14">
        <v>46.570999999999998</v>
      </c>
      <c r="Q21" s="25">
        <f t="shared" si="4"/>
        <v>5.6899999999999977</v>
      </c>
      <c r="R21" s="14">
        <v>53.957999999999998</v>
      </c>
      <c r="S21" s="34">
        <f t="shared" si="5"/>
        <v>7.3870000000000005</v>
      </c>
      <c r="T21" s="14"/>
      <c r="U21" s="14"/>
      <c r="V21" s="14"/>
      <c r="W21" s="14"/>
      <c r="X21" s="14"/>
      <c r="Y21" s="14">
        <f t="shared" si="10"/>
        <v>53.957999999999998</v>
      </c>
      <c r="Z21" s="26">
        <f t="shared" si="6"/>
        <v>83.012307692307687</v>
      </c>
      <c r="AA21" s="15">
        <f t="shared" si="7"/>
        <v>83.012307692307687</v>
      </c>
      <c r="AB21" s="464"/>
    </row>
    <row r="22" spans="1:28" ht="13.5" customHeight="1">
      <c r="B22" s="11" t="s">
        <v>328</v>
      </c>
      <c r="C22" s="13">
        <v>2</v>
      </c>
      <c r="D22" s="13">
        <v>4</v>
      </c>
      <c r="E22" s="14">
        <v>1.0229999999999999</v>
      </c>
      <c r="F22" s="14">
        <v>1.4259999999999999</v>
      </c>
      <c r="G22" s="14">
        <f t="shared" si="11"/>
        <v>0.40300000000000002</v>
      </c>
      <c r="H22" s="14">
        <v>1.4259999999999999</v>
      </c>
      <c r="I22" s="14">
        <f t="shared" si="8"/>
        <v>0</v>
      </c>
      <c r="J22" s="14">
        <v>1.4259999999999999</v>
      </c>
      <c r="K22" s="14">
        <f t="shared" si="9"/>
        <v>0</v>
      </c>
      <c r="L22" s="14">
        <v>1.9770000000000001</v>
      </c>
      <c r="M22" s="34">
        <f t="shared" si="2"/>
        <v>0.55100000000000016</v>
      </c>
      <c r="N22" s="14">
        <v>1.9770000000000001</v>
      </c>
      <c r="O22" s="34">
        <f t="shared" si="3"/>
        <v>0</v>
      </c>
      <c r="P22" s="14">
        <v>1.9770000000000001</v>
      </c>
      <c r="Q22" s="25">
        <f t="shared" si="4"/>
        <v>0</v>
      </c>
      <c r="R22" s="14">
        <v>2.556</v>
      </c>
      <c r="S22" s="34">
        <f t="shared" si="5"/>
        <v>0.57899999999999996</v>
      </c>
      <c r="T22" s="14"/>
      <c r="U22" s="14"/>
      <c r="V22" s="14"/>
      <c r="W22" s="14"/>
      <c r="X22" s="14"/>
      <c r="Y22" s="14">
        <f t="shared" si="10"/>
        <v>2.556</v>
      </c>
      <c r="Z22" s="26">
        <f t="shared" si="6"/>
        <v>127.8</v>
      </c>
      <c r="AA22" s="15">
        <f t="shared" si="7"/>
        <v>63.9</v>
      </c>
      <c r="AB22" s="464"/>
    </row>
    <row r="23" spans="1:28" ht="13.5" customHeight="1">
      <c r="B23" s="11" t="s">
        <v>329</v>
      </c>
      <c r="C23" s="13">
        <v>5</v>
      </c>
      <c r="D23" s="13">
        <v>5</v>
      </c>
      <c r="E23" s="14">
        <v>0</v>
      </c>
      <c r="F23" s="14"/>
      <c r="G23" s="14"/>
      <c r="H23" s="14"/>
      <c r="I23" s="14">
        <f t="shared" si="8"/>
        <v>0</v>
      </c>
      <c r="J23" s="14"/>
      <c r="K23" s="14">
        <f t="shared" si="9"/>
        <v>0</v>
      </c>
      <c r="L23" s="14"/>
      <c r="M23" s="34">
        <f t="shared" si="2"/>
        <v>0</v>
      </c>
      <c r="N23" s="14"/>
      <c r="O23" s="34">
        <f t="shared" si="3"/>
        <v>0</v>
      </c>
      <c r="P23" s="14"/>
      <c r="Q23" s="25">
        <f t="shared" si="4"/>
        <v>0</v>
      </c>
      <c r="R23" s="14"/>
      <c r="S23" s="34">
        <f t="shared" si="5"/>
        <v>0</v>
      </c>
      <c r="T23" s="14"/>
      <c r="U23" s="14"/>
      <c r="V23" s="14"/>
      <c r="W23" s="14"/>
      <c r="X23" s="14"/>
      <c r="Y23" s="14">
        <f t="shared" si="10"/>
        <v>0</v>
      </c>
      <c r="Z23" s="26">
        <f t="shared" si="6"/>
        <v>0</v>
      </c>
      <c r="AA23" s="15">
        <f t="shared" si="7"/>
        <v>0</v>
      </c>
      <c r="AB23" s="464"/>
    </row>
    <row r="24" spans="1:28" ht="13.5" customHeight="1">
      <c r="B24" s="11" t="s">
        <v>330</v>
      </c>
      <c r="C24" s="13">
        <v>30</v>
      </c>
      <c r="D24" s="13">
        <v>30</v>
      </c>
      <c r="E24" s="14">
        <v>0</v>
      </c>
      <c r="F24" s="14"/>
      <c r="G24" s="14"/>
      <c r="H24" s="14"/>
      <c r="I24" s="14">
        <f t="shared" si="8"/>
        <v>0</v>
      </c>
      <c r="J24" s="14"/>
      <c r="K24" s="14">
        <f t="shared" si="9"/>
        <v>0</v>
      </c>
      <c r="L24" s="14"/>
      <c r="M24" s="34">
        <f t="shared" si="2"/>
        <v>0</v>
      </c>
      <c r="N24" s="14"/>
      <c r="O24" s="34">
        <f t="shared" si="3"/>
        <v>0</v>
      </c>
      <c r="P24" s="14"/>
      <c r="Q24" s="25">
        <f t="shared" si="4"/>
        <v>0</v>
      </c>
      <c r="R24" s="14"/>
      <c r="S24" s="34">
        <f t="shared" si="5"/>
        <v>0</v>
      </c>
      <c r="T24" s="14"/>
      <c r="U24" s="14"/>
      <c r="V24" s="14"/>
      <c r="W24" s="14"/>
      <c r="X24" s="14"/>
      <c r="Y24" s="14">
        <f t="shared" si="10"/>
        <v>0</v>
      </c>
      <c r="Z24" s="26">
        <f t="shared" si="6"/>
        <v>0</v>
      </c>
      <c r="AA24" s="15">
        <f t="shared" si="7"/>
        <v>0</v>
      </c>
      <c r="AB24" s="464"/>
    </row>
    <row r="25" spans="1:28" ht="13.5" customHeight="1">
      <c r="B25" s="11" t="s">
        <v>331</v>
      </c>
      <c r="C25" s="13">
        <v>200</v>
      </c>
      <c r="D25" s="13">
        <v>200</v>
      </c>
      <c r="E25" s="14">
        <v>1.589</v>
      </c>
      <c r="F25" s="14">
        <v>7.0739999999999998</v>
      </c>
      <c r="G25" s="14">
        <f t="shared" si="11"/>
        <v>5.4849999999999994</v>
      </c>
      <c r="H25" s="14">
        <v>103.148</v>
      </c>
      <c r="I25" s="14">
        <f t="shared" si="8"/>
        <v>96.073999999999998</v>
      </c>
      <c r="J25" s="14">
        <v>103.36799999999999</v>
      </c>
      <c r="K25" s="14">
        <f t="shared" si="9"/>
        <v>0.21999999999999886</v>
      </c>
      <c r="L25" s="14">
        <v>110.378</v>
      </c>
      <c r="M25" s="34">
        <f t="shared" si="2"/>
        <v>7.0100000000000051</v>
      </c>
      <c r="N25" s="14">
        <v>127.988</v>
      </c>
      <c r="O25" s="34">
        <f t="shared" si="3"/>
        <v>17.61</v>
      </c>
      <c r="P25" s="14">
        <v>128.55799999999999</v>
      </c>
      <c r="Q25" s="25">
        <f t="shared" si="4"/>
        <v>0.56999999999999318</v>
      </c>
      <c r="R25" s="14">
        <v>128.55799999999999</v>
      </c>
      <c r="S25" s="34">
        <f t="shared" si="5"/>
        <v>0</v>
      </c>
      <c r="T25" s="14"/>
      <c r="U25" s="14"/>
      <c r="V25" s="14"/>
      <c r="W25" s="14"/>
      <c r="X25" s="14"/>
      <c r="Y25" s="14">
        <f t="shared" si="10"/>
        <v>128.55799999999999</v>
      </c>
      <c r="Z25" s="26">
        <f t="shared" si="6"/>
        <v>64.278999999999996</v>
      </c>
      <c r="AA25" s="15">
        <f t="shared" si="7"/>
        <v>64.278999999999996</v>
      </c>
      <c r="AB25" s="464"/>
    </row>
    <row r="26" spans="1:28" ht="13.5" customHeight="1">
      <c r="B26" s="11" t="s">
        <v>332</v>
      </c>
      <c r="C26" s="13">
        <v>100</v>
      </c>
      <c r="D26" s="13">
        <v>100</v>
      </c>
      <c r="E26" s="14">
        <v>26.198319999999999</v>
      </c>
      <c r="F26" s="504">
        <v>29.678629999999998</v>
      </c>
      <c r="G26" s="14">
        <f t="shared" si="11"/>
        <v>3.4803099999999993</v>
      </c>
      <c r="H26" s="14">
        <v>34.63082</v>
      </c>
      <c r="I26" s="14">
        <f t="shared" si="8"/>
        <v>4.9521900000000016</v>
      </c>
      <c r="J26" s="14">
        <v>43.028739999999999</v>
      </c>
      <c r="K26" s="14">
        <f t="shared" si="9"/>
        <v>8.3979199999999992</v>
      </c>
      <c r="L26" s="14">
        <v>48.935740000000003</v>
      </c>
      <c r="M26" s="34">
        <f t="shared" si="2"/>
        <v>5.9070000000000036</v>
      </c>
      <c r="N26" s="14">
        <v>53.011400000000002</v>
      </c>
      <c r="O26" s="34">
        <f t="shared" si="3"/>
        <v>4.0756599999999992</v>
      </c>
      <c r="P26" s="14">
        <v>53.373399999999997</v>
      </c>
      <c r="Q26" s="25">
        <f t="shared" si="4"/>
        <v>0.36199999999999477</v>
      </c>
      <c r="R26" s="14">
        <v>62.414279999999998</v>
      </c>
      <c r="S26" s="34">
        <f t="shared" si="5"/>
        <v>9.0408800000000014</v>
      </c>
      <c r="T26" s="14"/>
      <c r="U26" s="14"/>
      <c r="V26" s="14"/>
      <c r="W26" s="14"/>
      <c r="X26" s="14"/>
      <c r="Y26" s="14">
        <f t="shared" si="10"/>
        <v>62.414279999999998</v>
      </c>
      <c r="Z26" s="26">
        <f t="shared" si="6"/>
        <v>62.414279999999998</v>
      </c>
      <c r="AA26" s="15">
        <f t="shared" si="7"/>
        <v>62.414279999999998</v>
      </c>
      <c r="AB26" s="464"/>
    </row>
    <row r="27" spans="1:28" ht="13.5" customHeight="1">
      <c r="B27" s="11" t="s">
        <v>333</v>
      </c>
      <c r="C27" s="13">
        <v>15</v>
      </c>
      <c r="D27" s="13">
        <v>15</v>
      </c>
      <c r="E27" s="14">
        <v>3.20181</v>
      </c>
      <c r="F27" s="14">
        <v>4.0218100000000003</v>
      </c>
      <c r="G27" s="14">
        <f t="shared" si="11"/>
        <v>0.82000000000000028</v>
      </c>
      <c r="H27" s="14">
        <v>4.6220100000000004</v>
      </c>
      <c r="I27" s="14">
        <f t="shared" si="8"/>
        <v>0.60020000000000007</v>
      </c>
      <c r="J27" s="14">
        <v>5.9222099999999998</v>
      </c>
      <c r="K27" s="14">
        <f t="shared" si="9"/>
        <v>1.3001999999999994</v>
      </c>
      <c r="L27" s="14">
        <v>6.5224099999999998</v>
      </c>
      <c r="M27" s="34">
        <f t="shared" si="2"/>
        <v>0.60020000000000007</v>
      </c>
      <c r="N27" s="14">
        <v>7.47262</v>
      </c>
      <c r="O27" s="34">
        <f t="shared" si="3"/>
        <v>0.95021000000000022</v>
      </c>
      <c r="P27" s="14">
        <v>8.2228200000000005</v>
      </c>
      <c r="Q27" s="25">
        <f t="shared" si="4"/>
        <v>0.75020000000000042</v>
      </c>
      <c r="R27" s="14">
        <v>8.9727899999999998</v>
      </c>
      <c r="S27" s="34">
        <f t="shared" si="5"/>
        <v>0.74996999999999936</v>
      </c>
      <c r="T27" s="14"/>
      <c r="U27" s="14"/>
      <c r="V27" s="14"/>
      <c r="W27" s="14"/>
      <c r="X27" s="14"/>
      <c r="Y27" s="14">
        <f t="shared" si="10"/>
        <v>8.9727899999999998</v>
      </c>
      <c r="Z27" s="26">
        <f t="shared" si="6"/>
        <v>59.818599999999996</v>
      </c>
      <c r="AA27" s="15">
        <f t="shared" si="7"/>
        <v>59.818599999999996</v>
      </c>
      <c r="AB27" s="464"/>
    </row>
    <row r="28" spans="1:28" ht="13.5" customHeight="1">
      <c r="B28" s="11" t="s">
        <v>334</v>
      </c>
      <c r="C28" s="13">
        <v>15</v>
      </c>
      <c r="D28" s="13">
        <v>12</v>
      </c>
      <c r="E28" s="14">
        <v>8.1630000000000003</v>
      </c>
      <c r="F28" s="14">
        <v>8.1630000000000003</v>
      </c>
      <c r="G28" s="14"/>
      <c r="H28" s="14">
        <v>8.1630000000000003</v>
      </c>
      <c r="I28" s="14">
        <f t="shared" si="8"/>
        <v>0</v>
      </c>
      <c r="J28" s="14">
        <v>8.1630000000000003</v>
      </c>
      <c r="K28" s="14">
        <f t="shared" si="9"/>
        <v>0</v>
      </c>
      <c r="L28" s="14">
        <v>8.1630000000000003</v>
      </c>
      <c r="M28" s="34">
        <f t="shared" si="2"/>
        <v>0</v>
      </c>
      <c r="N28" s="14">
        <v>8.1630000000000003</v>
      </c>
      <c r="O28" s="34">
        <f t="shared" si="3"/>
        <v>0</v>
      </c>
      <c r="P28" s="14">
        <v>8.1630000000000003</v>
      </c>
      <c r="Q28" s="25">
        <f t="shared" si="4"/>
        <v>0</v>
      </c>
      <c r="R28" s="14">
        <v>8.1630000000000003</v>
      </c>
      <c r="S28" s="34">
        <f t="shared" si="5"/>
        <v>0</v>
      </c>
      <c r="T28" s="14"/>
      <c r="U28" s="14"/>
      <c r="V28" s="14"/>
      <c r="W28" s="14"/>
      <c r="X28" s="14"/>
      <c r="Y28" s="14">
        <f t="shared" si="10"/>
        <v>8.1630000000000003</v>
      </c>
      <c r="Z28" s="26">
        <f t="shared" si="6"/>
        <v>54.42</v>
      </c>
      <c r="AA28" s="15">
        <f t="shared" si="7"/>
        <v>68.025000000000006</v>
      </c>
      <c r="AB28" s="464"/>
    </row>
    <row r="29" spans="1:28" ht="13.5" customHeight="1">
      <c r="B29" s="11" t="s">
        <v>319</v>
      </c>
      <c r="C29" s="13">
        <v>5</v>
      </c>
      <c r="D29" s="13">
        <v>5</v>
      </c>
      <c r="E29" s="462">
        <v>0</v>
      </c>
      <c r="F29" s="14"/>
      <c r="G29" s="14"/>
      <c r="H29" s="14"/>
      <c r="I29" s="14">
        <f t="shared" si="8"/>
        <v>0</v>
      </c>
      <c r="J29" s="14"/>
      <c r="K29" s="14">
        <f t="shared" si="9"/>
        <v>0</v>
      </c>
      <c r="L29" s="14"/>
      <c r="M29" s="34">
        <f t="shared" si="2"/>
        <v>0</v>
      </c>
      <c r="N29" s="14"/>
      <c r="O29" s="34">
        <f t="shared" si="3"/>
        <v>0</v>
      </c>
      <c r="P29" s="14"/>
      <c r="Q29" s="25">
        <f t="shared" si="4"/>
        <v>0</v>
      </c>
      <c r="R29" s="14"/>
      <c r="S29" s="34">
        <f t="shared" si="5"/>
        <v>0</v>
      </c>
      <c r="T29" s="14"/>
      <c r="U29" s="14"/>
      <c r="V29" s="14"/>
      <c r="W29" s="14"/>
      <c r="X29" s="14"/>
      <c r="Y29" s="14">
        <f t="shared" si="10"/>
        <v>0</v>
      </c>
      <c r="Z29" s="26">
        <f t="shared" si="6"/>
        <v>0</v>
      </c>
      <c r="AA29" s="15">
        <f t="shared" si="7"/>
        <v>0</v>
      </c>
      <c r="AB29" s="464"/>
    </row>
    <row r="30" spans="1:28" ht="27" customHeight="1">
      <c r="B30" s="11" t="s">
        <v>320</v>
      </c>
      <c r="C30" s="24">
        <v>2100</v>
      </c>
      <c r="D30" s="24">
        <v>2060.75</v>
      </c>
      <c r="E30" s="25">
        <v>312.82499999999999</v>
      </c>
      <c r="F30" s="25">
        <v>821.50300000000004</v>
      </c>
      <c r="G30" s="25">
        <f t="shared" si="11"/>
        <v>508.67800000000005</v>
      </c>
      <c r="H30" s="25">
        <v>975.875</v>
      </c>
      <c r="I30" s="25">
        <f t="shared" si="8"/>
        <v>154.37199999999996</v>
      </c>
      <c r="J30" s="25">
        <v>1100.1295</v>
      </c>
      <c r="K30" s="25">
        <f t="shared" si="9"/>
        <v>124.25450000000001</v>
      </c>
      <c r="L30" s="25">
        <v>1343.42614</v>
      </c>
      <c r="M30" s="34">
        <f t="shared" si="2"/>
        <v>243.29664000000002</v>
      </c>
      <c r="N30" s="25">
        <v>1515.32464</v>
      </c>
      <c r="O30" s="34">
        <f t="shared" si="3"/>
        <v>171.89850000000001</v>
      </c>
      <c r="P30" s="25">
        <v>1597.6866399999999</v>
      </c>
      <c r="Q30" s="25">
        <f t="shared" si="4"/>
        <v>82.361999999999853</v>
      </c>
      <c r="R30" s="25">
        <v>1723.97164</v>
      </c>
      <c r="S30" s="34">
        <f t="shared" si="5"/>
        <v>126.28500000000008</v>
      </c>
      <c r="T30" s="25"/>
      <c r="U30" s="25"/>
      <c r="V30" s="25"/>
      <c r="W30" s="25"/>
      <c r="X30" s="25"/>
      <c r="Y30" s="25">
        <f t="shared" si="10"/>
        <v>1723.97164</v>
      </c>
      <c r="Z30" s="26">
        <f t="shared" si="6"/>
        <v>82.093887619047621</v>
      </c>
      <c r="AA30" s="26">
        <f t="shared" si="7"/>
        <v>83.657485866796065</v>
      </c>
      <c r="AB30"/>
    </row>
    <row r="31" spans="1:28" ht="14.25" customHeight="1">
      <c r="B31" s="11" t="s">
        <v>335</v>
      </c>
      <c r="C31" s="13">
        <v>15</v>
      </c>
      <c r="D31" s="13">
        <v>50</v>
      </c>
      <c r="E31" s="14">
        <v>1.7665999999999999</v>
      </c>
      <c r="F31" s="14">
        <v>1.7665999999999999</v>
      </c>
      <c r="G31" s="14"/>
      <c r="H31" s="14">
        <v>1.7665999999999999</v>
      </c>
      <c r="I31" s="14">
        <f t="shared" si="8"/>
        <v>0</v>
      </c>
      <c r="J31" s="14">
        <v>43.392600000000002</v>
      </c>
      <c r="K31" s="14">
        <f t="shared" si="9"/>
        <v>41.626000000000005</v>
      </c>
      <c r="L31" s="14">
        <v>43.392600000000002</v>
      </c>
      <c r="M31" s="34">
        <f t="shared" si="2"/>
        <v>0</v>
      </c>
      <c r="N31" s="14">
        <v>46.804600000000001</v>
      </c>
      <c r="O31" s="34">
        <f t="shared" si="3"/>
        <v>3.411999999999999</v>
      </c>
      <c r="P31" s="14">
        <v>46.804600000000001</v>
      </c>
      <c r="Q31" s="25">
        <f t="shared" si="4"/>
        <v>0</v>
      </c>
      <c r="R31" s="14">
        <v>46.804600000000001</v>
      </c>
      <c r="S31" s="34">
        <f t="shared" si="5"/>
        <v>0</v>
      </c>
      <c r="T31" s="14"/>
      <c r="U31" s="14"/>
      <c r="V31" s="14"/>
      <c r="W31" s="14"/>
      <c r="X31" s="14"/>
      <c r="Y31" s="25">
        <f t="shared" si="10"/>
        <v>46.804600000000001</v>
      </c>
      <c r="Z31" s="26">
        <f t="shared" si="6"/>
        <v>312.03066666666666</v>
      </c>
      <c r="AA31" s="26">
        <f t="shared" si="7"/>
        <v>93.609200000000001</v>
      </c>
      <c r="AB31"/>
    </row>
    <row r="32" spans="1:28" ht="14.25" customHeight="1">
      <c r="B32" s="17" t="s">
        <v>499</v>
      </c>
      <c r="C32" s="13"/>
      <c r="D32" s="13">
        <v>1</v>
      </c>
      <c r="E32" s="14">
        <v>0.26600000000000001</v>
      </c>
      <c r="F32" s="14">
        <v>0.26600000000000001</v>
      </c>
      <c r="G32" s="14"/>
      <c r="H32" s="14">
        <v>0.26600000000000001</v>
      </c>
      <c r="I32" s="14">
        <f t="shared" si="8"/>
        <v>0</v>
      </c>
      <c r="J32" s="14">
        <v>0.26600000000000001</v>
      </c>
      <c r="K32" s="14">
        <f t="shared" si="9"/>
        <v>0</v>
      </c>
      <c r="L32" s="14">
        <v>0.26600000000000001</v>
      </c>
      <c r="M32" s="34">
        <f t="shared" si="2"/>
        <v>0</v>
      </c>
      <c r="N32" s="14">
        <v>0.26600000000000001</v>
      </c>
      <c r="O32" s="34">
        <f t="shared" si="3"/>
        <v>0</v>
      </c>
      <c r="P32" s="14">
        <v>0.26600000000000001</v>
      </c>
      <c r="Q32" s="25">
        <f t="shared" si="4"/>
        <v>0</v>
      </c>
      <c r="R32" s="14">
        <v>0.26600000000000001</v>
      </c>
      <c r="S32" s="34">
        <f t="shared" si="5"/>
        <v>0</v>
      </c>
      <c r="T32" s="14"/>
      <c r="U32" s="14"/>
      <c r="V32" s="14"/>
      <c r="W32" s="14"/>
      <c r="X32" s="14"/>
      <c r="Y32" s="25">
        <f t="shared" si="10"/>
        <v>0.26600000000000001</v>
      </c>
      <c r="Z32" s="462">
        <v>0</v>
      </c>
      <c r="AA32" s="26">
        <f t="shared" si="7"/>
        <v>26.6</v>
      </c>
      <c r="AB32"/>
    </row>
    <row r="33" spans="1:28" ht="27" customHeight="1">
      <c r="B33" s="28" t="s">
        <v>336</v>
      </c>
      <c r="C33" s="24">
        <v>1</v>
      </c>
      <c r="D33" s="24">
        <v>1</v>
      </c>
      <c r="E33" s="463">
        <v>0</v>
      </c>
      <c r="F33" s="25"/>
      <c r="G33" s="14"/>
      <c r="H33" s="25"/>
      <c r="I33" s="25">
        <f t="shared" si="8"/>
        <v>0</v>
      </c>
      <c r="J33" s="25"/>
      <c r="K33" s="25">
        <f t="shared" si="9"/>
        <v>0</v>
      </c>
      <c r="L33" s="25"/>
      <c r="M33" s="34">
        <f t="shared" si="2"/>
        <v>0</v>
      </c>
      <c r="N33" s="25"/>
      <c r="O33" s="34">
        <f t="shared" si="3"/>
        <v>0</v>
      </c>
      <c r="P33" s="25"/>
      <c r="Q33" s="25">
        <f t="shared" si="4"/>
        <v>0</v>
      </c>
      <c r="R33" s="25"/>
      <c r="S33" s="34">
        <f t="shared" si="5"/>
        <v>0</v>
      </c>
      <c r="T33" s="25"/>
      <c r="U33" s="25"/>
      <c r="V33" s="25"/>
      <c r="W33" s="25"/>
      <c r="X33" s="25"/>
      <c r="Y33" s="25">
        <f t="shared" si="10"/>
        <v>0</v>
      </c>
      <c r="Z33" s="26">
        <f t="shared" si="6"/>
        <v>0</v>
      </c>
      <c r="AA33" s="26">
        <f t="shared" si="7"/>
        <v>0</v>
      </c>
      <c r="AB33"/>
    </row>
    <row r="34" spans="1:28" ht="13.5" customHeight="1">
      <c r="B34" s="11" t="s">
        <v>337</v>
      </c>
      <c r="C34" s="13">
        <v>10</v>
      </c>
      <c r="D34" s="13">
        <v>10</v>
      </c>
      <c r="E34" s="14">
        <v>3.8380000000000001</v>
      </c>
      <c r="F34" s="14">
        <v>3.8380000000000001</v>
      </c>
      <c r="G34" s="14"/>
      <c r="H34" s="14">
        <v>3.8380000000000001</v>
      </c>
      <c r="I34" s="14">
        <f t="shared" si="8"/>
        <v>0</v>
      </c>
      <c r="J34" s="14">
        <v>3.8380000000000001</v>
      </c>
      <c r="K34" s="14">
        <f t="shared" si="9"/>
        <v>0</v>
      </c>
      <c r="L34" s="14">
        <v>3.8380000000000001</v>
      </c>
      <c r="M34" s="34">
        <f t="shared" si="2"/>
        <v>0</v>
      </c>
      <c r="N34" s="14">
        <v>3.8380000000000001</v>
      </c>
      <c r="O34" s="34">
        <f t="shared" si="3"/>
        <v>0</v>
      </c>
      <c r="P34" s="14">
        <v>3.8380000000000001</v>
      </c>
      <c r="Q34" s="25">
        <f t="shared" si="4"/>
        <v>0</v>
      </c>
      <c r="R34" s="14">
        <v>3.8380000000000001</v>
      </c>
      <c r="S34" s="34">
        <f t="shared" si="5"/>
        <v>0</v>
      </c>
      <c r="T34" s="14"/>
      <c r="U34" s="14"/>
      <c r="V34" s="14"/>
      <c r="W34" s="14"/>
      <c r="X34" s="14"/>
      <c r="Y34" s="14">
        <f t="shared" si="10"/>
        <v>3.8380000000000001</v>
      </c>
      <c r="Z34" s="26">
        <f t="shared" si="6"/>
        <v>38.380000000000003</v>
      </c>
      <c r="AA34" s="15">
        <f t="shared" si="7"/>
        <v>38.380000000000003</v>
      </c>
      <c r="AB34"/>
    </row>
    <row r="35" spans="1:28" ht="13.5" customHeight="1">
      <c r="B35" s="11" t="s">
        <v>338</v>
      </c>
      <c r="C35" s="13">
        <v>10</v>
      </c>
      <c r="D35" s="13">
        <v>20</v>
      </c>
      <c r="E35" s="14">
        <v>1.575</v>
      </c>
      <c r="F35" s="14">
        <v>2.4750000000000001</v>
      </c>
      <c r="G35" s="14">
        <f t="shared" si="11"/>
        <v>0.90000000000000013</v>
      </c>
      <c r="H35" s="14">
        <v>5.7519999999999998</v>
      </c>
      <c r="I35" s="14">
        <f>H35-F35</f>
        <v>3.2769999999999997</v>
      </c>
      <c r="J35" s="14">
        <v>6.8019999999999996</v>
      </c>
      <c r="K35" s="14">
        <f t="shared" si="9"/>
        <v>1.0499999999999998</v>
      </c>
      <c r="L35" s="14">
        <v>7.9020000000000001</v>
      </c>
      <c r="M35" s="34">
        <f t="shared" si="2"/>
        <v>1.1000000000000005</v>
      </c>
      <c r="N35" s="14">
        <v>8.8770000000000007</v>
      </c>
      <c r="O35" s="34">
        <f t="shared" si="3"/>
        <v>0.97500000000000053</v>
      </c>
      <c r="P35" s="14">
        <v>12.129</v>
      </c>
      <c r="Q35" s="25">
        <f t="shared" si="4"/>
        <v>3.2519999999999989</v>
      </c>
      <c r="R35" s="14">
        <v>13.254</v>
      </c>
      <c r="S35" s="34">
        <f t="shared" si="5"/>
        <v>1.125</v>
      </c>
      <c r="T35" s="14"/>
      <c r="U35" s="14"/>
      <c r="V35" s="14"/>
      <c r="W35" s="14"/>
      <c r="X35" s="14"/>
      <c r="Y35" s="14">
        <f t="shared" si="10"/>
        <v>13.254</v>
      </c>
      <c r="Z35" s="26">
        <f t="shared" si="6"/>
        <v>132.54</v>
      </c>
      <c r="AA35" s="15">
        <f t="shared" si="7"/>
        <v>66.27</v>
      </c>
      <c r="AB35"/>
    </row>
    <row r="36" spans="1:28" ht="13.5" customHeight="1">
      <c r="B36" s="18" t="s">
        <v>10</v>
      </c>
      <c r="C36" s="19">
        <f t="shared" ref="C36:W36" si="12">SUM(C18:C35)</f>
        <v>3208</v>
      </c>
      <c r="D36" s="19">
        <f t="shared" si="12"/>
        <v>3213.75</v>
      </c>
      <c r="E36" s="20">
        <f t="shared" si="12"/>
        <v>478.52573000000001</v>
      </c>
      <c r="F36" s="76">
        <f t="shared" si="12"/>
        <v>1053.2580399999999</v>
      </c>
      <c r="G36" s="20">
        <f>SUM(G18:W35)</f>
        <v>14033.642979999995</v>
      </c>
      <c r="H36" s="20">
        <f t="shared" si="12"/>
        <v>1368.5544299999999</v>
      </c>
      <c r="I36" s="20">
        <f t="shared" si="12"/>
        <v>315.29638999999992</v>
      </c>
      <c r="J36" s="76">
        <f t="shared" si="12"/>
        <v>1605.2070499999998</v>
      </c>
      <c r="K36" s="76">
        <f t="shared" si="12"/>
        <v>236.65262000000004</v>
      </c>
      <c r="L36" s="76">
        <f t="shared" si="12"/>
        <v>1935.53889</v>
      </c>
      <c r="M36" s="20">
        <f t="shared" si="12"/>
        <v>330.33184000000006</v>
      </c>
      <c r="N36" s="76">
        <f t="shared" si="12"/>
        <v>2188.52826</v>
      </c>
      <c r="O36" s="76">
        <f t="shared" si="12"/>
        <v>252.98937000000001</v>
      </c>
      <c r="P36" s="76">
        <f t="shared" si="12"/>
        <v>2331.3914599999998</v>
      </c>
      <c r="Q36" s="20">
        <f t="shared" si="12"/>
        <v>142.86319999999981</v>
      </c>
      <c r="R36" s="76">
        <f t="shared" si="12"/>
        <v>2541.4743100000001</v>
      </c>
      <c r="S36" s="20">
        <f t="shared" si="12"/>
        <v>210.08285000000006</v>
      </c>
      <c r="T36" s="20">
        <f t="shared" si="12"/>
        <v>0</v>
      </c>
      <c r="U36" s="20">
        <f t="shared" si="12"/>
        <v>0</v>
      </c>
      <c r="V36" s="20">
        <f t="shared" si="12"/>
        <v>0</v>
      </c>
      <c r="W36" s="20">
        <f t="shared" si="12"/>
        <v>0</v>
      </c>
      <c r="X36" s="20"/>
      <c r="Y36" s="76">
        <f>SUM(Y18:Y35)</f>
        <v>2541.4743100000001</v>
      </c>
      <c r="Z36" s="18">
        <f t="shared" si="6"/>
        <v>79.223014650872827</v>
      </c>
      <c r="AA36" s="18">
        <f t="shared" si="7"/>
        <v>79.081269856087133</v>
      </c>
      <c r="AB36"/>
    </row>
    <row r="37" spans="1:28" ht="17.25" customHeight="1">
      <c r="B37" s="4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95"/>
      <c r="AB37"/>
    </row>
    <row r="38" spans="1:28" ht="17.25" customHeight="1">
      <c r="B38" s="4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95"/>
      <c r="AB38"/>
    </row>
    <row r="39" spans="1:28" ht="42" customHeight="1">
      <c r="A39" s="75" t="s">
        <v>313</v>
      </c>
      <c r="B39" s="8" t="s">
        <v>339</v>
      </c>
      <c r="C39" s="507" t="s">
        <v>524</v>
      </c>
      <c r="D39" s="508" t="s">
        <v>315</v>
      </c>
      <c r="E39" s="393" t="s">
        <v>523</v>
      </c>
      <c r="F39" s="393" t="s">
        <v>525</v>
      </c>
      <c r="G39" s="460" t="s">
        <v>534</v>
      </c>
      <c r="H39" s="393" t="s">
        <v>526</v>
      </c>
      <c r="I39" s="460" t="s">
        <v>535</v>
      </c>
      <c r="J39" s="393" t="s">
        <v>527</v>
      </c>
      <c r="K39" s="460" t="s">
        <v>536</v>
      </c>
      <c r="L39" s="393" t="s">
        <v>528</v>
      </c>
      <c r="M39" s="460" t="s">
        <v>537</v>
      </c>
      <c r="N39" s="393" t="s">
        <v>529</v>
      </c>
      <c r="O39" s="460" t="s">
        <v>538</v>
      </c>
      <c r="P39" s="393" t="s">
        <v>530</v>
      </c>
      <c r="Q39" s="460" t="s">
        <v>539</v>
      </c>
      <c r="R39" s="393" t="s">
        <v>531</v>
      </c>
      <c r="S39" s="460" t="s">
        <v>540</v>
      </c>
      <c r="T39" s="393" t="s">
        <v>532</v>
      </c>
      <c r="U39" s="460" t="s">
        <v>541</v>
      </c>
      <c r="V39" s="393" t="s">
        <v>533</v>
      </c>
      <c r="W39" s="460" t="s">
        <v>542</v>
      </c>
      <c r="X39" s="10"/>
      <c r="Y39" s="393" t="s">
        <v>543</v>
      </c>
      <c r="Z39" s="10" t="s">
        <v>309</v>
      </c>
      <c r="AA39" s="396" t="s">
        <v>7</v>
      </c>
      <c r="AB39"/>
    </row>
    <row r="40" spans="1:28" ht="13.5" customHeight="1">
      <c r="A40" s="75" t="s">
        <v>340</v>
      </c>
      <c r="B40" s="29" t="s">
        <v>320</v>
      </c>
      <c r="C40" s="13">
        <v>120</v>
      </c>
      <c r="D40" s="13">
        <v>478.36</v>
      </c>
      <c r="E40" s="463">
        <v>0</v>
      </c>
      <c r="F40" s="14"/>
      <c r="G40" s="14"/>
      <c r="H40" s="14">
        <v>118.79</v>
      </c>
      <c r="I40" s="14">
        <f>H40-F40</f>
        <v>118.79</v>
      </c>
      <c r="J40" s="14">
        <v>118.79</v>
      </c>
      <c r="K40" s="25">
        <f>J40-H40</f>
        <v>0</v>
      </c>
      <c r="L40" s="14">
        <v>118.79</v>
      </c>
      <c r="M40" s="34">
        <f>L40-J40</f>
        <v>0</v>
      </c>
      <c r="N40" s="14">
        <v>118.79</v>
      </c>
      <c r="O40" s="34">
        <f>N40-L40</f>
        <v>0</v>
      </c>
      <c r="P40" s="14">
        <v>358.36099999999999</v>
      </c>
      <c r="Q40" s="14">
        <f>P40-N40</f>
        <v>239.57099999999997</v>
      </c>
      <c r="R40" s="14">
        <v>358.36099999999999</v>
      </c>
      <c r="S40" s="34">
        <f>R40-P40</f>
        <v>0</v>
      </c>
      <c r="T40" s="14"/>
      <c r="U40" s="14"/>
      <c r="V40" s="14"/>
      <c r="W40" s="14"/>
      <c r="X40" s="14"/>
      <c r="Y40" s="25">
        <f>E40+G40+I40+K40+M40+O40+Q40+S40+U40+W40</f>
        <v>358.36099999999999</v>
      </c>
      <c r="Z40" s="26">
        <f>(Y40/C40)*100</f>
        <v>298.63416666666666</v>
      </c>
      <c r="AA40" s="26">
        <f>(Y40/D40)*100</f>
        <v>74.914499540095321</v>
      </c>
      <c r="AB40"/>
    </row>
    <row r="41" spans="1:28" ht="13.5" customHeight="1">
      <c r="B41" s="18" t="s">
        <v>10</v>
      </c>
      <c r="C41" s="19">
        <f>SUM(C40)</f>
        <v>120</v>
      </c>
      <c r="D41" s="19">
        <f>SUM(D40)</f>
        <v>478.36</v>
      </c>
      <c r="E41" s="20">
        <f>SUM(E40)</f>
        <v>0</v>
      </c>
      <c r="F41" s="20">
        <f t="shared" ref="F41:Y41" si="13">SUM(F40)</f>
        <v>0</v>
      </c>
      <c r="G41" s="20">
        <f t="shared" si="13"/>
        <v>0</v>
      </c>
      <c r="H41" s="20">
        <f t="shared" si="13"/>
        <v>118.79</v>
      </c>
      <c r="I41" s="20">
        <f t="shared" si="13"/>
        <v>118.79</v>
      </c>
      <c r="J41" s="20">
        <f t="shared" si="13"/>
        <v>118.79</v>
      </c>
      <c r="K41" s="20">
        <f t="shared" si="13"/>
        <v>0</v>
      </c>
      <c r="L41" s="20">
        <f t="shared" si="13"/>
        <v>118.79</v>
      </c>
      <c r="M41" s="20">
        <f t="shared" si="13"/>
        <v>0</v>
      </c>
      <c r="N41" s="20">
        <f t="shared" si="13"/>
        <v>118.79</v>
      </c>
      <c r="O41" s="20">
        <f t="shared" si="13"/>
        <v>0</v>
      </c>
      <c r="P41" s="20">
        <f t="shared" si="13"/>
        <v>358.36099999999999</v>
      </c>
      <c r="Q41" s="20">
        <f t="shared" si="13"/>
        <v>239.57099999999997</v>
      </c>
      <c r="R41" s="20">
        <f t="shared" si="13"/>
        <v>358.36099999999999</v>
      </c>
      <c r="S41" s="20">
        <f t="shared" si="13"/>
        <v>0</v>
      </c>
      <c r="T41" s="20">
        <f t="shared" si="13"/>
        <v>0</v>
      </c>
      <c r="U41" s="20">
        <f t="shared" si="13"/>
        <v>0</v>
      </c>
      <c r="V41" s="20">
        <f t="shared" si="13"/>
        <v>0</v>
      </c>
      <c r="W41" s="20">
        <f t="shared" si="13"/>
        <v>0</v>
      </c>
      <c r="X41" s="20"/>
      <c r="Y41" s="20">
        <f t="shared" si="13"/>
        <v>358.36099999999999</v>
      </c>
      <c r="Z41" s="18">
        <f>(Y41/C41)*100</f>
        <v>298.63416666666666</v>
      </c>
      <c r="AA41" s="18">
        <f>(Y41/D41)*100</f>
        <v>74.914499540095321</v>
      </c>
      <c r="AB41"/>
    </row>
    <row r="42" spans="1:28" ht="17.25" customHeight="1">
      <c r="B42" s="4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395"/>
      <c r="AB42"/>
    </row>
    <row r="43" spans="1:28" ht="17.25" customHeight="1">
      <c r="B43" s="4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95"/>
      <c r="AB43"/>
    </row>
    <row r="44" spans="1:28" ht="39.75" customHeight="1">
      <c r="A44" s="75" t="s">
        <v>313</v>
      </c>
      <c r="B44" s="8" t="s">
        <v>341</v>
      </c>
      <c r="C44" s="507" t="s">
        <v>524</v>
      </c>
      <c r="D44" s="508" t="s">
        <v>315</v>
      </c>
      <c r="E44" s="393" t="s">
        <v>523</v>
      </c>
      <c r="F44" s="393" t="s">
        <v>525</v>
      </c>
      <c r="G44" s="460" t="s">
        <v>534</v>
      </c>
      <c r="H44" s="393" t="s">
        <v>526</v>
      </c>
      <c r="I44" s="460" t="s">
        <v>535</v>
      </c>
      <c r="J44" s="393" t="s">
        <v>527</v>
      </c>
      <c r="K44" s="460" t="s">
        <v>536</v>
      </c>
      <c r="L44" s="393" t="s">
        <v>528</v>
      </c>
      <c r="M44" s="460" t="s">
        <v>537</v>
      </c>
      <c r="N44" s="393" t="s">
        <v>529</v>
      </c>
      <c r="O44" s="460" t="s">
        <v>538</v>
      </c>
      <c r="P44" s="393" t="s">
        <v>530</v>
      </c>
      <c r="Q44" s="460" t="s">
        <v>539</v>
      </c>
      <c r="R44" s="393" t="s">
        <v>531</v>
      </c>
      <c r="S44" s="460" t="s">
        <v>540</v>
      </c>
      <c r="T44" s="393" t="s">
        <v>532</v>
      </c>
      <c r="U44" s="460" t="s">
        <v>541</v>
      </c>
      <c r="V44" s="393" t="s">
        <v>533</v>
      </c>
      <c r="W44" s="460" t="s">
        <v>542</v>
      </c>
      <c r="X44" s="10"/>
      <c r="Y44" s="393" t="s">
        <v>543</v>
      </c>
      <c r="Z44" s="10" t="s">
        <v>309</v>
      </c>
      <c r="AA44" s="396" t="s">
        <v>7</v>
      </c>
      <c r="AB44"/>
    </row>
    <row r="45" spans="1:28" ht="13.5" customHeight="1">
      <c r="A45" s="75" t="s">
        <v>342</v>
      </c>
      <c r="B45" s="11" t="s">
        <v>343</v>
      </c>
      <c r="C45" s="31">
        <v>100</v>
      </c>
      <c r="D45" s="13">
        <v>10</v>
      </c>
      <c r="E45" s="468">
        <v>0</v>
      </c>
      <c r="F45" s="14"/>
      <c r="G45" s="14"/>
      <c r="H45" s="14"/>
      <c r="I45" s="14">
        <f t="shared" ref="I45:I50" si="14">H45-F45</f>
        <v>0</v>
      </c>
      <c r="J45" s="14"/>
      <c r="K45" s="25">
        <f t="shared" ref="K45:K50" si="15">J45-H45</f>
        <v>0</v>
      </c>
      <c r="L45" s="14"/>
      <c r="M45" s="34">
        <f t="shared" ref="M45:M50" si="16">L45-J45</f>
        <v>0</v>
      </c>
      <c r="N45" s="14"/>
      <c r="O45" s="34">
        <f t="shared" ref="O45:O50" si="17">N45-L45</f>
        <v>0</v>
      </c>
      <c r="P45" s="14"/>
      <c r="Q45" s="14">
        <f t="shared" ref="Q45:Q50" si="18">P45-N45</f>
        <v>0</v>
      </c>
      <c r="R45" s="14"/>
      <c r="S45" s="34">
        <f t="shared" ref="S45:S50" si="19">R45-P45</f>
        <v>0</v>
      </c>
      <c r="T45" s="14"/>
      <c r="U45" s="14"/>
      <c r="V45" s="14"/>
      <c r="W45" s="14"/>
      <c r="X45" s="14"/>
      <c r="Y45" s="25">
        <f t="shared" ref="Y45:Y50" si="20">E45+G45+I45+K45+M45+O45+Q45+S45+U45+W45</f>
        <v>0</v>
      </c>
      <c r="Z45" s="26">
        <f t="shared" ref="Z45:Z51" si="21">(Y45/C45)*100</f>
        <v>0</v>
      </c>
      <c r="AA45" s="26">
        <f t="shared" ref="AA45:AA51" si="22">(Y45/D45)*100</f>
        <v>0</v>
      </c>
      <c r="AB45"/>
    </row>
    <row r="46" spans="1:28" ht="13.5" customHeight="1">
      <c r="B46" s="11" t="s">
        <v>344</v>
      </c>
      <c r="C46" s="31">
        <v>100</v>
      </c>
      <c r="D46" s="13">
        <v>3</v>
      </c>
      <c r="E46" s="468">
        <v>0</v>
      </c>
      <c r="F46" s="14"/>
      <c r="G46" s="14"/>
      <c r="H46" s="14"/>
      <c r="I46" s="14">
        <f t="shared" si="14"/>
        <v>0</v>
      </c>
      <c r="J46" s="14"/>
      <c r="K46" s="25">
        <f t="shared" si="15"/>
        <v>0</v>
      </c>
      <c r="L46" s="14"/>
      <c r="M46" s="34">
        <f t="shared" si="16"/>
        <v>0</v>
      </c>
      <c r="N46" s="14"/>
      <c r="O46" s="34">
        <f t="shared" si="17"/>
        <v>0</v>
      </c>
      <c r="P46" s="14"/>
      <c r="Q46" s="14">
        <f t="shared" si="18"/>
        <v>0</v>
      </c>
      <c r="R46" s="14"/>
      <c r="S46" s="34">
        <f t="shared" si="19"/>
        <v>0</v>
      </c>
      <c r="T46" s="14"/>
      <c r="U46" s="14"/>
      <c r="V46" s="14"/>
      <c r="W46" s="14"/>
      <c r="X46" s="14"/>
      <c r="Y46" s="25">
        <f t="shared" si="20"/>
        <v>0</v>
      </c>
      <c r="Z46" s="26">
        <f t="shared" si="21"/>
        <v>0</v>
      </c>
      <c r="AA46" s="26">
        <f t="shared" si="22"/>
        <v>0</v>
      </c>
      <c r="AB46"/>
    </row>
    <row r="47" spans="1:28" ht="13.5" customHeight="1">
      <c r="B47" s="11" t="s">
        <v>345</v>
      </c>
      <c r="C47" s="31">
        <v>20</v>
      </c>
      <c r="D47" s="13">
        <v>20</v>
      </c>
      <c r="E47" s="468">
        <v>0</v>
      </c>
      <c r="F47" s="14"/>
      <c r="G47" s="14"/>
      <c r="H47" s="14"/>
      <c r="I47" s="14">
        <f t="shared" si="14"/>
        <v>0</v>
      </c>
      <c r="J47" s="14"/>
      <c r="K47" s="25">
        <f t="shared" si="15"/>
        <v>0</v>
      </c>
      <c r="L47" s="14"/>
      <c r="M47" s="34">
        <f t="shared" si="16"/>
        <v>0</v>
      </c>
      <c r="N47" s="14"/>
      <c r="O47" s="34">
        <f t="shared" si="17"/>
        <v>0</v>
      </c>
      <c r="P47" s="14"/>
      <c r="Q47" s="14">
        <f t="shared" si="18"/>
        <v>0</v>
      </c>
      <c r="R47" s="14"/>
      <c r="S47" s="34">
        <f t="shared" si="19"/>
        <v>0</v>
      </c>
      <c r="T47" s="14"/>
      <c r="U47" s="14"/>
      <c r="V47" s="14"/>
      <c r="W47" s="14"/>
      <c r="X47" s="14"/>
      <c r="Y47" s="25">
        <f t="shared" si="20"/>
        <v>0</v>
      </c>
      <c r="Z47" s="26">
        <f t="shared" si="21"/>
        <v>0</v>
      </c>
      <c r="AA47" s="26">
        <f t="shared" si="22"/>
        <v>0</v>
      </c>
      <c r="AB47"/>
    </row>
    <row r="48" spans="1:28" ht="25.5">
      <c r="B48" s="399" t="s">
        <v>346</v>
      </c>
      <c r="C48" s="33">
        <v>70</v>
      </c>
      <c r="D48" s="23">
        <v>20</v>
      </c>
      <c r="E48" s="469">
        <v>0</v>
      </c>
      <c r="F48" s="34"/>
      <c r="G48" s="14"/>
      <c r="H48" s="34"/>
      <c r="I48" s="25">
        <f t="shared" si="14"/>
        <v>0</v>
      </c>
      <c r="J48" s="34"/>
      <c r="K48" s="25">
        <f t="shared" si="15"/>
        <v>0</v>
      </c>
      <c r="L48" s="34"/>
      <c r="M48" s="34">
        <f t="shared" si="16"/>
        <v>0</v>
      </c>
      <c r="N48" s="34"/>
      <c r="O48" s="34">
        <f t="shared" si="17"/>
        <v>0</v>
      </c>
      <c r="P48" s="34"/>
      <c r="Q48" s="14">
        <f t="shared" si="18"/>
        <v>0</v>
      </c>
      <c r="R48" s="34"/>
      <c r="S48" s="34">
        <f t="shared" si="19"/>
        <v>0</v>
      </c>
      <c r="T48" s="34"/>
      <c r="U48" s="34"/>
      <c r="V48" s="34"/>
      <c r="W48" s="34"/>
      <c r="X48" s="34"/>
      <c r="Y48" s="25">
        <f t="shared" si="20"/>
        <v>0</v>
      </c>
      <c r="Z48" s="26">
        <f t="shared" si="21"/>
        <v>0</v>
      </c>
      <c r="AA48" s="26">
        <f t="shared" si="22"/>
        <v>0</v>
      </c>
      <c r="AB48"/>
    </row>
    <row r="49" spans="1:32" ht="13.5" customHeight="1">
      <c r="B49" s="11" t="s">
        <v>347</v>
      </c>
      <c r="C49" s="31">
        <v>610</v>
      </c>
      <c r="D49" s="13">
        <v>605</v>
      </c>
      <c r="E49" s="468">
        <v>0</v>
      </c>
      <c r="F49" s="14"/>
      <c r="G49" s="14"/>
      <c r="H49" s="14"/>
      <c r="I49" s="14">
        <f t="shared" si="14"/>
        <v>0</v>
      </c>
      <c r="J49" s="14">
        <v>584.84744999999998</v>
      </c>
      <c r="K49" s="25">
        <f t="shared" si="15"/>
        <v>584.84744999999998</v>
      </c>
      <c r="L49" s="14">
        <v>584.84744999999998</v>
      </c>
      <c r="M49" s="34">
        <f t="shared" si="16"/>
        <v>0</v>
      </c>
      <c r="N49" s="14">
        <v>597.67345</v>
      </c>
      <c r="O49" s="34">
        <f t="shared" si="17"/>
        <v>12.826000000000022</v>
      </c>
      <c r="P49" s="14">
        <v>597.67345</v>
      </c>
      <c r="Q49" s="14">
        <f t="shared" si="18"/>
        <v>0</v>
      </c>
      <c r="R49" s="14">
        <v>597.67345</v>
      </c>
      <c r="S49" s="34">
        <f t="shared" si="19"/>
        <v>0</v>
      </c>
      <c r="T49" s="14"/>
      <c r="U49" s="14"/>
      <c r="V49" s="14"/>
      <c r="W49" s="14"/>
      <c r="X49" s="14"/>
      <c r="Y49" s="25">
        <f t="shared" si="20"/>
        <v>597.67345</v>
      </c>
      <c r="Z49" s="26">
        <f t="shared" si="21"/>
        <v>97.979254098360656</v>
      </c>
      <c r="AA49" s="26">
        <f t="shared" si="22"/>
        <v>98.789000000000001</v>
      </c>
      <c r="AB49"/>
    </row>
    <row r="50" spans="1:32" ht="13.5" customHeight="1">
      <c r="B50" s="17" t="s">
        <v>546</v>
      </c>
      <c r="C50" s="31">
        <v>0</v>
      </c>
      <c r="D50" s="13">
        <v>742</v>
      </c>
      <c r="E50" s="14">
        <v>20.738499999999998</v>
      </c>
      <c r="F50" s="14">
        <v>20.738499999999998</v>
      </c>
      <c r="G50" s="14"/>
      <c r="H50" s="14">
        <v>43.019500000000001</v>
      </c>
      <c r="I50" s="14">
        <f t="shared" si="14"/>
        <v>22.281000000000002</v>
      </c>
      <c r="J50" s="14">
        <v>146.23949999999999</v>
      </c>
      <c r="K50" s="25">
        <f t="shared" si="15"/>
        <v>103.22</v>
      </c>
      <c r="L50" s="14">
        <v>238.43549999999999</v>
      </c>
      <c r="M50" s="34">
        <f t="shared" si="16"/>
        <v>92.195999999999998</v>
      </c>
      <c r="N50" s="14">
        <v>386.44650000000001</v>
      </c>
      <c r="O50" s="34">
        <f t="shared" si="17"/>
        <v>148.01100000000002</v>
      </c>
      <c r="P50" s="14">
        <v>538.85550000000001</v>
      </c>
      <c r="Q50" s="14">
        <f t="shared" si="18"/>
        <v>152.40899999999999</v>
      </c>
      <c r="R50" s="14">
        <v>726.42250000000001</v>
      </c>
      <c r="S50" s="34">
        <f t="shared" si="19"/>
        <v>187.56700000000001</v>
      </c>
      <c r="T50" s="14"/>
      <c r="U50" s="14"/>
      <c r="V50" s="14"/>
      <c r="W50" s="14"/>
      <c r="X50" s="14"/>
      <c r="Y50" s="25">
        <f t="shared" si="20"/>
        <v>726.42250000000001</v>
      </c>
      <c r="Z50" s="468">
        <v>0</v>
      </c>
      <c r="AA50" s="26">
        <f t="shared" si="22"/>
        <v>97.900606469002696</v>
      </c>
      <c r="AB50"/>
    </row>
    <row r="51" spans="1:32" ht="13.5" customHeight="1">
      <c r="B51" s="18" t="s">
        <v>10</v>
      </c>
      <c r="C51" s="19">
        <f>SUM(C45:C50)</f>
        <v>900</v>
      </c>
      <c r="D51" s="19">
        <f>SUM(D45:D50)</f>
        <v>1400</v>
      </c>
      <c r="E51" s="20">
        <f>SUM(E45:E50)</f>
        <v>20.738499999999998</v>
      </c>
      <c r="F51" s="20">
        <f t="shared" ref="F51:W51" si="23">SUM(F45:F50)</f>
        <v>20.738499999999998</v>
      </c>
      <c r="G51" s="20">
        <f t="shared" si="23"/>
        <v>0</v>
      </c>
      <c r="H51" s="20">
        <f t="shared" si="23"/>
        <v>43.019500000000001</v>
      </c>
      <c r="I51" s="20">
        <f t="shared" si="23"/>
        <v>22.281000000000002</v>
      </c>
      <c r="J51" s="20">
        <f t="shared" si="23"/>
        <v>731.08695</v>
      </c>
      <c r="K51" s="20">
        <f t="shared" si="23"/>
        <v>688.06745000000001</v>
      </c>
      <c r="L51" s="20">
        <f t="shared" si="23"/>
        <v>823.28295000000003</v>
      </c>
      <c r="M51" s="20">
        <f t="shared" si="23"/>
        <v>92.195999999999998</v>
      </c>
      <c r="N51" s="20">
        <f t="shared" si="23"/>
        <v>984.11995000000002</v>
      </c>
      <c r="O51" s="20">
        <f t="shared" si="23"/>
        <v>160.83700000000005</v>
      </c>
      <c r="P51" s="76">
        <f t="shared" si="23"/>
        <v>1136.5289499999999</v>
      </c>
      <c r="Q51" s="20">
        <f t="shared" si="23"/>
        <v>152.40899999999999</v>
      </c>
      <c r="R51" s="76">
        <f t="shared" si="23"/>
        <v>1324.0959499999999</v>
      </c>
      <c r="S51" s="76">
        <f t="shared" si="23"/>
        <v>187.56700000000001</v>
      </c>
      <c r="T51" s="20">
        <f t="shared" si="23"/>
        <v>0</v>
      </c>
      <c r="U51" s="20">
        <f t="shared" si="23"/>
        <v>0</v>
      </c>
      <c r="V51" s="20">
        <f t="shared" si="23"/>
        <v>0</v>
      </c>
      <c r="W51" s="20">
        <f t="shared" si="23"/>
        <v>0</v>
      </c>
      <c r="X51" s="20"/>
      <c r="Y51" s="76">
        <f>SUM(Y45:Y50)</f>
        <v>1324.0959499999999</v>
      </c>
      <c r="Z51" s="18">
        <f t="shared" si="21"/>
        <v>147.12177222222221</v>
      </c>
      <c r="AA51" s="18">
        <f t="shared" si="22"/>
        <v>94.578282142857134</v>
      </c>
      <c r="AB51"/>
    </row>
    <row r="52" spans="1:32" ht="17.25" customHeight="1">
      <c r="B52" s="4"/>
      <c r="C52" s="5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395"/>
      <c r="AB52"/>
    </row>
    <row r="53" spans="1:32" ht="17.25" customHeight="1">
      <c r="B53" s="4"/>
      <c r="C53" s="5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395"/>
      <c r="AB53"/>
    </row>
    <row r="54" spans="1:32" ht="43.5" customHeight="1">
      <c r="A54" s="75" t="s">
        <v>313</v>
      </c>
      <c r="B54" s="8" t="s">
        <v>348</v>
      </c>
      <c r="C54" s="507" t="s">
        <v>524</v>
      </c>
      <c r="D54" s="508" t="s">
        <v>315</v>
      </c>
      <c r="E54" s="393" t="s">
        <v>523</v>
      </c>
      <c r="F54" s="393" t="s">
        <v>525</v>
      </c>
      <c r="G54" s="460" t="s">
        <v>534</v>
      </c>
      <c r="H54" s="393" t="s">
        <v>526</v>
      </c>
      <c r="I54" s="460" t="s">
        <v>535</v>
      </c>
      <c r="J54" s="393" t="s">
        <v>527</v>
      </c>
      <c r="K54" s="460" t="s">
        <v>536</v>
      </c>
      <c r="L54" s="393" t="s">
        <v>528</v>
      </c>
      <c r="M54" s="460" t="s">
        <v>537</v>
      </c>
      <c r="N54" s="393" t="s">
        <v>529</v>
      </c>
      <c r="O54" s="460" t="s">
        <v>538</v>
      </c>
      <c r="P54" s="393" t="s">
        <v>530</v>
      </c>
      <c r="Q54" s="460" t="s">
        <v>539</v>
      </c>
      <c r="R54" s="393" t="s">
        <v>531</v>
      </c>
      <c r="S54" s="460" t="s">
        <v>540</v>
      </c>
      <c r="T54" s="393" t="s">
        <v>532</v>
      </c>
      <c r="U54" s="460" t="s">
        <v>541</v>
      </c>
      <c r="V54" s="393" t="s">
        <v>533</v>
      </c>
      <c r="W54" s="460" t="s">
        <v>542</v>
      </c>
      <c r="X54" s="10"/>
      <c r="Y54" s="393" t="s">
        <v>543</v>
      </c>
      <c r="Z54" s="10" t="s">
        <v>309</v>
      </c>
      <c r="AA54" s="396" t="s">
        <v>7</v>
      </c>
      <c r="AB54"/>
    </row>
    <row r="55" spans="1:32" ht="15" customHeight="1">
      <c r="A55" s="75" t="s">
        <v>342</v>
      </c>
      <c r="B55" s="29" t="s">
        <v>349</v>
      </c>
      <c r="C55" s="13">
        <v>115</v>
      </c>
      <c r="D55" s="13">
        <v>115</v>
      </c>
      <c r="E55" s="469">
        <v>0</v>
      </c>
      <c r="F55" s="14"/>
      <c r="G55" s="14"/>
      <c r="H55" s="14">
        <v>114.12</v>
      </c>
      <c r="I55" s="14">
        <f>H55-F55</f>
        <v>114.12</v>
      </c>
      <c r="J55" s="14">
        <v>114.12</v>
      </c>
      <c r="K55" s="25">
        <f>J55-H55</f>
        <v>0</v>
      </c>
      <c r="L55" s="14">
        <v>114.12</v>
      </c>
      <c r="M55" s="34">
        <f>L55-J55</f>
        <v>0</v>
      </c>
      <c r="N55" s="14">
        <v>114.12</v>
      </c>
      <c r="O55" s="34">
        <f>N55-L55</f>
        <v>0</v>
      </c>
      <c r="P55" s="14">
        <v>114.12</v>
      </c>
      <c r="Q55" s="25">
        <f>P55-N55</f>
        <v>0</v>
      </c>
      <c r="R55" s="14">
        <v>114.12</v>
      </c>
      <c r="S55" s="34">
        <f>R55-P55</f>
        <v>0</v>
      </c>
      <c r="T55" s="14"/>
      <c r="U55" s="14"/>
      <c r="V55" s="14"/>
      <c r="W55" s="14"/>
      <c r="X55" s="14"/>
      <c r="Y55" s="25">
        <f>E55+G55+I55+K55+M55+O55+Q55+S55+U55+W55</f>
        <v>114.12</v>
      </c>
      <c r="Z55" s="26">
        <f>(Y55/C55)*100</f>
        <v>99.234782608695653</v>
      </c>
      <c r="AA55" s="26">
        <f>(Y55/D55)*100</f>
        <v>99.234782608695653</v>
      </c>
      <c r="AB55"/>
    </row>
    <row r="56" spans="1:32" ht="14.25" customHeight="1">
      <c r="B56" s="18" t="s">
        <v>10</v>
      </c>
      <c r="C56" s="19">
        <f>SUM(C55)</f>
        <v>115</v>
      </c>
      <c r="D56" s="19">
        <f>SUM(D55)</f>
        <v>115</v>
      </c>
      <c r="E56" s="20">
        <f>SUM(E55)</f>
        <v>0</v>
      </c>
      <c r="F56" s="20">
        <f t="shared" ref="F56:Y56" si="24">SUM(F55)</f>
        <v>0</v>
      </c>
      <c r="G56" s="20">
        <f t="shared" si="24"/>
        <v>0</v>
      </c>
      <c r="H56" s="20">
        <f t="shared" si="24"/>
        <v>114.12</v>
      </c>
      <c r="I56" s="20">
        <f t="shared" si="24"/>
        <v>114.12</v>
      </c>
      <c r="J56" s="20">
        <f t="shared" si="24"/>
        <v>114.12</v>
      </c>
      <c r="K56" s="20">
        <f t="shared" si="24"/>
        <v>0</v>
      </c>
      <c r="L56" s="20">
        <f t="shared" si="24"/>
        <v>114.12</v>
      </c>
      <c r="M56" s="20">
        <f t="shared" si="24"/>
        <v>0</v>
      </c>
      <c r="N56" s="20">
        <f t="shared" si="24"/>
        <v>114.12</v>
      </c>
      <c r="O56" s="20">
        <f t="shared" si="24"/>
        <v>0</v>
      </c>
      <c r="P56" s="20">
        <f t="shared" si="24"/>
        <v>114.12</v>
      </c>
      <c r="Q56" s="20">
        <f t="shared" si="24"/>
        <v>0</v>
      </c>
      <c r="R56" s="20">
        <f t="shared" si="24"/>
        <v>114.12</v>
      </c>
      <c r="S56" s="20">
        <f t="shared" si="24"/>
        <v>0</v>
      </c>
      <c r="T56" s="20">
        <f t="shared" si="24"/>
        <v>0</v>
      </c>
      <c r="U56" s="20">
        <f t="shared" si="24"/>
        <v>0</v>
      </c>
      <c r="V56" s="20">
        <f t="shared" si="24"/>
        <v>0</v>
      </c>
      <c r="W56" s="20">
        <f t="shared" si="24"/>
        <v>0</v>
      </c>
      <c r="X56" s="20"/>
      <c r="Y56" s="20">
        <f t="shared" si="24"/>
        <v>114.12</v>
      </c>
      <c r="Z56" s="18">
        <f>(Y56/C56)*100</f>
        <v>99.234782608695653</v>
      </c>
      <c r="AA56" s="18">
        <f>(Y56/D56)*100</f>
        <v>99.234782608695653</v>
      </c>
      <c r="AB56"/>
    </row>
    <row r="57" spans="1:32" ht="17.25" customHeight="1">
      <c r="B57" s="4"/>
      <c r="C57" s="5"/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395"/>
      <c r="AB57"/>
    </row>
    <row r="58" spans="1:32" ht="17.25" customHeight="1">
      <c r="B58" s="4"/>
      <c r="C58" s="5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395"/>
      <c r="AB58"/>
    </row>
    <row r="59" spans="1:32" ht="43.5" customHeight="1">
      <c r="A59" s="75" t="s">
        <v>313</v>
      </c>
      <c r="B59" s="490" t="s">
        <v>585</v>
      </c>
      <c r="C59" s="507" t="s">
        <v>524</v>
      </c>
      <c r="D59" s="508" t="s">
        <v>315</v>
      </c>
      <c r="E59" s="393" t="s">
        <v>523</v>
      </c>
      <c r="F59" s="393" t="s">
        <v>525</v>
      </c>
      <c r="G59" s="460" t="s">
        <v>534</v>
      </c>
      <c r="H59" s="393" t="s">
        <v>526</v>
      </c>
      <c r="I59" s="460" t="s">
        <v>535</v>
      </c>
      <c r="J59" s="393" t="s">
        <v>527</v>
      </c>
      <c r="K59" s="460" t="s">
        <v>536</v>
      </c>
      <c r="L59" s="393" t="s">
        <v>528</v>
      </c>
      <c r="M59" s="460" t="s">
        <v>537</v>
      </c>
      <c r="N59" s="393" t="s">
        <v>529</v>
      </c>
      <c r="O59" s="460" t="s">
        <v>538</v>
      </c>
      <c r="P59" s="393" t="s">
        <v>530</v>
      </c>
      <c r="Q59" s="460" t="s">
        <v>539</v>
      </c>
      <c r="R59" s="393" t="s">
        <v>531</v>
      </c>
      <c r="S59" s="460" t="s">
        <v>540</v>
      </c>
      <c r="T59" s="393" t="s">
        <v>532</v>
      </c>
      <c r="U59" s="460" t="s">
        <v>541</v>
      </c>
      <c r="V59" s="393" t="s">
        <v>533</v>
      </c>
      <c r="W59" s="460" t="s">
        <v>542</v>
      </c>
      <c r="X59" s="10"/>
      <c r="Y59" s="393" t="s">
        <v>543</v>
      </c>
      <c r="Z59" s="492"/>
      <c r="AA59" s="493"/>
      <c r="AB59"/>
      <c r="AC59" s="495"/>
      <c r="AE59" s="496"/>
      <c r="AF59" s="497"/>
    </row>
    <row r="60" spans="1:32" ht="79.5" customHeight="1">
      <c r="A60" s="2" t="s">
        <v>563</v>
      </c>
      <c r="B60" s="491" t="s">
        <v>620</v>
      </c>
      <c r="C60" s="23">
        <v>15000</v>
      </c>
      <c r="D60" s="23">
        <v>3060</v>
      </c>
      <c r="E60" s="25">
        <v>169.4</v>
      </c>
      <c r="F60" s="34">
        <v>171.9</v>
      </c>
      <c r="G60" s="34">
        <f>F60-E60</f>
        <v>2.5</v>
      </c>
      <c r="H60" s="34">
        <v>1420.6041700000001</v>
      </c>
      <c r="I60" s="34">
        <f>H60-F60</f>
        <v>1248.70417</v>
      </c>
      <c r="J60" s="23">
        <v>1420.6041700000001</v>
      </c>
      <c r="K60" s="23">
        <f>J60-H60</f>
        <v>0</v>
      </c>
      <c r="L60" s="23">
        <v>1420.6041700000001</v>
      </c>
      <c r="M60" s="34">
        <f>L60-J60</f>
        <v>0</v>
      </c>
      <c r="N60" s="34">
        <v>1444.8041700000001</v>
      </c>
      <c r="O60" s="34">
        <f>N60-L60</f>
        <v>24.200000000000045</v>
      </c>
      <c r="P60" s="34">
        <v>1468.0966699999999</v>
      </c>
      <c r="Q60" s="25">
        <f>P60-N60</f>
        <v>23.292499999999791</v>
      </c>
      <c r="R60" s="34">
        <v>2209.30467</v>
      </c>
      <c r="S60" s="34">
        <f>R60-P60</f>
        <v>741.20800000000008</v>
      </c>
      <c r="T60" s="34"/>
      <c r="U60" s="34"/>
      <c r="V60" s="34"/>
      <c r="W60" s="34"/>
      <c r="X60" s="34"/>
      <c r="Y60" s="25">
        <f>E60+G60+I60+K60+M60+O60+Q60+S60+U60+W60</f>
        <v>2209.30467</v>
      </c>
      <c r="Z60" s="494"/>
      <c r="AA60" s="494"/>
      <c r="AB60"/>
      <c r="AC60" s="501" t="s">
        <v>561</v>
      </c>
      <c r="AE60" s="497"/>
      <c r="AF60" s="497"/>
    </row>
    <row r="61" spans="1:32" ht="14.25" customHeight="1">
      <c r="B61" s="41" t="s">
        <v>10</v>
      </c>
      <c r="C61" s="554">
        <f>C60</f>
        <v>15000</v>
      </c>
      <c r="D61" s="554">
        <f>D60</f>
        <v>3060</v>
      </c>
      <c r="E61" s="76">
        <f>SUM(E60)</f>
        <v>169.4</v>
      </c>
      <c r="F61" s="530">
        <f t="shared" ref="F61:W61" si="25">SUM(F60)</f>
        <v>171.9</v>
      </c>
      <c r="G61" s="530">
        <f t="shared" si="25"/>
        <v>2.5</v>
      </c>
      <c r="H61" s="530">
        <f t="shared" si="25"/>
        <v>1420.6041700000001</v>
      </c>
      <c r="I61" s="530">
        <f t="shared" si="25"/>
        <v>1248.70417</v>
      </c>
      <c r="J61" s="530">
        <f t="shared" si="25"/>
        <v>1420.6041700000001</v>
      </c>
      <c r="K61" s="530">
        <f t="shared" si="25"/>
        <v>0</v>
      </c>
      <c r="L61" s="530">
        <f t="shared" si="25"/>
        <v>1420.6041700000001</v>
      </c>
      <c r="M61" s="530">
        <f t="shared" si="25"/>
        <v>0</v>
      </c>
      <c r="N61" s="530">
        <f t="shared" si="25"/>
        <v>1444.8041700000001</v>
      </c>
      <c r="O61" s="530">
        <f t="shared" si="25"/>
        <v>24.200000000000045</v>
      </c>
      <c r="P61" s="530">
        <f t="shared" si="25"/>
        <v>1468.0966699999999</v>
      </c>
      <c r="Q61" s="530">
        <f t="shared" si="25"/>
        <v>23.292499999999791</v>
      </c>
      <c r="R61" s="530">
        <f t="shared" si="25"/>
        <v>2209.30467</v>
      </c>
      <c r="S61" s="530">
        <f t="shared" si="25"/>
        <v>741.20800000000008</v>
      </c>
      <c r="T61" s="530">
        <f t="shared" si="25"/>
        <v>0</v>
      </c>
      <c r="U61" s="530">
        <f t="shared" si="25"/>
        <v>0</v>
      </c>
      <c r="V61" s="530">
        <f t="shared" si="25"/>
        <v>0</v>
      </c>
      <c r="W61" s="530">
        <f t="shared" si="25"/>
        <v>0</v>
      </c>
      <c r="X61" s="530"/>
      <c r="Y61" s="530">
        <f>SUM(Y60)</f>
        <v>2209.30467</v>
      </c>
      <c r="Z61" s="41"/>
      <c r="AA61" s="41"/>
      <c r="AB61"/>
      <c r="AC61" s="499">
        <f>Y51+Y56+Y61</f>
        <v>3647.5206199999998</v>
      </c>
      <c r="AE61" s="417"/>
      <c r="AF61" s="417"/>
    </row>
    <row r="62" spans="1:32" ht="14.25" customHeight="1">
      <c r="B62" s="41"/>
      <c r="C62" s="554"/>
      <c r="D62" s="554"/>
      <c r="E62" s="76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41"/>
      <c r="AA62" s="41"/>
      <c r="AB62"/>
      <c r="AC62" s="560"/>
      <c r="AE62" s="417"/>
      <c r="AF62" s="417"/>
    </row>
    <row r="63" spans="1:32" ht="17.25" customHeight="1">
      <c r="B63" s="564" t="s">
        <v>641</v>
      </c>
      <c r="C63" s="565">
        <f>C51+C56+C61</f>
        <v>16015</v>
      </c>
      <c r="D63" s="565">
        <f>D51+D56+D61</f>
        <v>4575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395"/>
      <c r="AB63"/>
      <c r="AE63" s="497"/>
      <c r="AF63" s="497"/>
    </row>
    <row r="64" spans="1:32" ht="17.25" customHeight="1">
      <c r="B64" s="4"/>
      <c r="C64" s="5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395"/>
      <c r="AB64"/>
    </row>
    <row r="65" spans="1:32" ht="43.5" customHeight="1">
      <c r="A65" s="75" t="s">
        <v>313</v>
      </c>
      <c r="B65" s="490" t="s">
        <v>562</v>
      </c>
      <c r="C65" s="507" t="s">
        <v>524</v>
      </c>
      <c r="D65" s="508" t="s">
        <v>315</v>
      </c>
      <c r="E65" s="393" t="s">
        <v>523</v>
      </c>
      <c r="F65" s="393" t="s">
        <v>525</v>
      </c>
      <c r="G65" s="460" t="s">
        <v>534</v>
      </c>
      <c r="H65" s="393" t="s">
        <v>526</v>
      </c>
      <c r="I65" s="460" t="s">
        <v>535</v>
      </c>
      <c r="J65" s="393" t="s">
        <v>527</v>
      </c>
      <c r="K65" s="460" t="s">
        <v>536</v>
      </c>
      <c r="L65" s="393" t="s">
        <v>528</v>
      </c>
      <c r="M65" s="460" t="s">
        <v>537</v>
      </c>
      <c r="N65" s="393" t="s">
        <v>529</v>
      </c>
      <c r="O65" s="460" t="s">
        <v>538</v>
      </c>
      <c r="P65" s="393" t="s">
        <v>530</v>
      </c>
      <c r="Q65" s="460" t="s">
        <v>539</v>
      </c>
      <c r="R65" s="393" t="s">
        <v>531</v>
      </c>
      <c r="S65" s="460" t="s">
        <v>540</v>
      </c>
      <c r="T65" s="393" t="s">
        <v>532</v>
      </c>
      <c r="U65" s="460" t="s">
        <v>541</v>
      </c>
      <c r="V65" s="393" t="s">
        <v>533</v>
      </c>
      <c r="W65" s="460" t="s">
        <v>542</v>
      </c>
      <c r="X65" s="10"/>
      <c r="Y65" s="393" t="s">
        <v>543</v>
      </c>
      <c r="Z65" s="492"/>
      <c r="AA65" s="493"/>
      <c r="AB65"/>
      <c r="AC65" s="495"/>
      <c r="AE65" s="496"/>
      <c r="AF65" s="497"/>
    </row>
    <row r="66" spans="1:32" ht="54.75" customHeight="1">
      <c r="A66" s="2" t="s">
        <v>564</v>
      </c>
      <c r="B66" s="491" t="s">
        <v>621</v>
      </c>
      <c r="C66" s="23">
        <v>8120</v>
      </c>
      <c r="D66" s="23">
        <v>12170</v>
      </c>
      <c r="E66" s="25">
        <v>51.728000000000002</v>
      </c>
      <c r="F66" s="34">
        <v>2020.61573</v>
      </c>
      <c r="G66" s="34">
        <f>F66-E66</f>
        <v>1968.8877299999999</v>
      </c>
      <c r="H66" s="34">
        <v>3816.4407200000001</v>
      </c>
      <c r="I66" s="34">
        <f>H66-F66</f>
        <v>1795.8249900000001</v>
      </c>
      <c r="J66" s="23">
        <v>3816.4407200000001</v>
      </c>
      <c r="K66" s="25">
        <f>J66-H66</f>
        <v>0</v>
      </c>
      <c r="L66" s="34">
        <v>6140.4066499999999</v>
      </c>
      <c r="M66" s="34">
        <f>L66-J66</f>
        <v>2323.9659299999998</v>
      </c>
      <c r="N66" s="34">
        <v>6155.9203500000003</v>
      </c>
      <c r="O66" s="34">
        <f>N66-L66</f>
        <v>15.513700000000426</v>
      </c>
      <c r="P66" s="34">
        <v>9961.8186000000005</v>
      </c>
      <c r="Q66" s="25">
        <f>P66-N66</f>
        <v>3805.8982500000002</v>
      </c>
      <c r="R66" s="34">
        <v>10879.88067</v>
      </c>
      <c r="S66" s="34">
        <f>R66-P66</f>
        <v>918.06206999999995</v>
      </c>
      <c r="T66" s="34"/>
      <c r="U66" s="34"/>
      <c r="V66" s="34"/>
      <c r="W66" s="34"/>
      <c r="X66" s="34"/>
      <c r="Y66" s="25">
        <f>E66+G66+I66+K66+M66+O66+Q66+S66+U66+W66</f>
        <v>10879.88067</v>
      </c>
      <c r="Z66" s="494"/>
      <c r="AA66" s="494"/>
      <c r="AB66"/>
      <c r="AC66" s="501" t="s">
        <v>565</v>
      </c>
      <c r="AE66" s="497"/>
      <c r="AF66" s="497"/>
    </row>
    <row r="67" spans="1:32" ht="14.25" customHeight="1">
      <c r="B67" s="41" t="s">
        <v>10</v>
      </c>
      <c r="C67" s="42">
        <f>C66</f>
        <v>8120</v>
      </c>
      <c r="D67" s="42">
        <f>D66</f>
        <v>12170</v>
      </c>
      <c r="E67" s="417">
        <f>SUM(E66)</f>
        <v>51.728000000000002</v>
      </c>
      <c r="F67" s="530">
        <f t="shared" ref="F67:W67" si="26">SUM(F66)</f>
        <v>2020.61573</v>
      </c>
      <c r="G67" s="417">
        <f t="shared" si="26"/>
        <v>1968.8877299999999</v>
      </c>
      <c r="H67" s="417">
        <f t="shared" si="26"/>
        <v>3816.4407200000001</v>
      </c>
      <c r="I67" s="417">
        <f t="shared" si="26"/>
        <v>1795.8249900000001</v>
      </c>
      <c r="J67" s="530">
        <f t="shared" si="26"/>
        <v>3816.4407200000001</v>
      </c>
      <c r="K67" s="530">
        <f t="shared" si="26"/>
        <v>0</v>
      </c>
      <c r="L67" s="530">
        <f t="shared" si="26"/>
        <v>6140.4066499999999</v>
      </c>
      <c r="M67" s="530">
        <f t="shared" si="26"/>
        <v>2323.9659299999998</v>
      </c>
      <c r="N67" s="530">
        <f t="shared" si="26"/>
        <v>6155.9203500000003</v>
      </c>
      <c r="O67" s="417">
        <f t="shared" si="26"/>
        <v>15.513700000000426</v>
      </c>
      <c r="P67" s="530">
        <f t="shared" si="26"/>
        <v>9961.8186000000005</v>
      </c>
      <c r="Q67" s="530">
        <f t="shared" si="26"/>
        <v>3805.8982500000002</v>
      </c>
      <c r="R67" s="530">
        <f t="shared" si="26"/>
        <v>10879.88067</v>
      </c>
      <c r="S67" s="530">
        <f t="shared" si="26"/>
        <v>918.06206999999995</v>
      </c>
      <c r="T67" s="417">
        <f t="shared" si="26"/>
        <v>0</v>
      </c>
      <c r="U67" s="417">
        <f t="shared" si="26"/>
        <v>0</v>
      </c>
      <c r="V67" s="417">
        <f t="shared" si="26"/>
        <v>0</v>
      </c>
      <c r="W67" s="417">
        <f t="shared" si="26"/>
        <v>0</v>
      </c>
      <c r="X67" s="417"/>
      <c r="Y67" s="530">
        <f>SUM(Y66)</f>
        <v>10879.88067</v>
      </c>
      <c r="Z67" s="41"/>
      <c r="AA67" s="41"/>
      <c r="AB67"/>
      <c r="AC67" s="499">
        <f>Y67</f>
        <v>10879.88067</v>
      </c>
      <c r="AE67" s="417"/>
      <c r="AF67" s="417"/>
    </row>
    <row r="68" spans="1:32" ht="17.25" customHeight="1">
      <c r="B68" s="4"/>
      <c r="C68" s="5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395"/>
      <c r="AB68"/>
    </row>
    <row r="69" spans="1:32" ht="17.25" customHeight="1">
      <c r="B69" s="4"/>
      <c r="C69" s="5"/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395"/>
      <c r="AB69"/>
    </row>
    <row r="70" spans="1:32" ht="40.5" customHeight="1">
      <c r="B70" s="8" t="s">
        <v>350</v>
      </c>
      <c r="C70" s="507" t="s">
        <v>524</v>
      </c>
      <c r="D70" s="508" t="s">
        <v>315</v>
      </c>
      <c r="E70" s="393" t="s">
        <v>523</v>
      </c>
      <c r="F70" s="393" t="s">
        <v>525</v>
      </c>
      <c r="G70" s="460" t="s">
        <v>534</v>
      </c>
      <c r="H70" s="393" t="s">
        <v>526</v>
      </c>
      <c r="I70" s="460" t="s">
        <v>535</v>
      </c>
      <c r="J70" s="393" t="s">
        <v>527</v>
      </c>
      <c r="K70" s="460" t="s">
        <v>536</v>
      </c>
      <c r="L70" s="393" t="s">
        <v>528</v>
      </c>
      <c r="M70" s="460" t="s">
        <v>537</v>
      </c>
      <c r="N70" s="393" t="s">
        <v>529</v>
      </c>
      <c r="O70" s="460" t="s">
        <v>538</v>
      </c>
      <c r="P70" s="393" t="s">
        <v>530</v>
      </c>
      <c r="Q70" s="460" t="s">
        <v>539</v>
      </c>
      <c r="R70" s="393" t="s">
        <v>531</v>
      </c>
      <c r="S70" s="460" t="s">
        <v>540</v>
      </c>
      <c r="T70" s="393" t="s">
        <v>532</v>
      </c>
      <c r="U70" s="460" t="s">
        <v>541</v>
      </c>
      <c r="V70" s="393" t="s">
        <v>533</v>
      </c>
      <c r="W70" s="460" t="s">
        <v>542</v>
      </c>
      <c r="X70" s="10"/>
      <c r="Y70" s="393" t="s">
        <v>543</v>
      </c>
      <c r="Z70" s="10" t="s">
        <v>309</v>
      </c>
      <c r="AA70" s="396" t="s">
        <v>7</v>
      </c>
      <c r="AB70"/>
    </row>
    <row r="71" spans="1:32">
      <c r="B71" s="36" t="s">
        <v>14</v>
      </c>
      <c r="C71" s="37"/>
      <c r="D71" s="3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395"/>
      <c r="AB71"/>
    </row>
    <row r="72" spans="1:32">
      <c r="A72" s="75" t="s">
        <v>351</v>
      </c>
      <c r="B72" s="11" t="s">
        <v>352</v>
      </c>
      <c r="C72" s="31">
        <v>10</v>
      </c>
      <c r="D72" s="23">
        <v>10</v>
      </c>
      <c r="E72" s="466">
        <v>0</v>
      </c>
      <c r="F72" s="34"/>
      <c r="G72" s="34"/>
      <c r="H72" s="34"/>
      <c r="I72" s="34">
        <f>H72-F72</f>
        <v>0</v>
      </c>
      <c r="J72" s="34"/>
      <c r="K72" s="25">
        <f>J72-H72</f>
        <v>0</v>
      </c>
      <c r="L72" s="34"/>
      <c r="M72" s="34">
        <f>L72-J72</f>
        <v>0</v>
      </c>
      <c r="N72" s="34"/>
      <c r="O72" s="34">
        <f>N72-L72</f>
        <v>0</v>
      </c>
      <c r="P72" s="34"/>
      <c r="Q72" s="25">
        <f>P72-N72</f>
        <v>0</v>
      </c>
      <c r="R72" s="34"/>
      <c r="S72" s="34">
        <f>R72-P72</f>
        <v>0</v>
      </c>
      <c r="T72" s="34"/>
      <c r="U72" s="34"/>
      <c r="V72" s="34"/>
      <c r="W72" s="34"/>
      <c r="X72" s="34"/>
      <c r="Y72" s="25">
        <f>E72+G72+I72+K72+M72+O72+Q72+S72+U72+W72</f>
        <v>0</v>
      </c>
      <c r="Z72" s="26">
        <f>(Y72/C72)*100</f>
        <v>0</v>
      </c>
      <c r="AA72" s="26">
        <f>(Y72/D72)*100</f>
        <v>0</v>
      </c>
      <c r="AB72"/>
    </row>
    <row r="73" spans="1:32" ht="38.25">
      <c r="B73" s="400" t="s">
        <v>353</v>
      </c>
      <c r="C73" s="24">
        <v>190</v>
      </c>
      <c r="D73" s="23">
        <v>190</v>
      </c>
      <c r="E73" s="34">
        <v>2.028</v>
      </c>
      <c r="F73" s="34">
        <v>2.028</v>
      </c>
      <c r="G73" s="34"/>
      <c r="H73" s="34">
        <v>2.028</v>
      </c>
      <c r="I73" s="34">
        <f>H73-F73</f>
        <v>0</v>
      </c>
      <c r="J73" s="34">
        <v>12.313269999999999</v>
      </c>
      <c r="K73" s="25">
        <f>J73-H73</f>
        <v>10.285269999999999</v>
      </c>
      <c r="L73" s="34">
        <v>13.97702</v>
      </c>
      <c r="M73" s="34">
        <f>L73-J73</f>
        <v>1.6637500000000003</v>
      </c>
      <c r="N73" s="34">
        <v>24.179739999999999</v>
      </c>
      <c r="O73" s="34">
        <f>N73-L73</f>
        <v>10.202719999999999</v>
      </c>
      <c r="P73" s="34">
        <v>22.409020000000002</v>
      </c>
      <c r="Q73" s="25">
        <f>P73-N73</f>
        <v>-1.7707199999999972</v>
      </c>
      <c r="R73" s="34">
        <v>22.409020000000002</v>
      </c>
      <c r="S73" s="34">
        <f>R73-P73</f>
        <v>0</v>
      </c>
      <c r="T73" s="34"/>
      <c r="U73" s="34"/>
      <c r="V73" s="34"/>
      <c r="W73" s="34"/>
      <c r="X73" s="34"/>
      <c r="Y73" s="25">
        <f>E73+G73+I73+K73+M73+O73+Q73+S73+U73+W73</f>
        <v>22.409020000000002</v>
      </c>
      <c r="Z73" s="26">
        <f>(Y73/C73)*100</f>
        <v>11.794221052631579</v>
      </c>
      <c r="AA73" s="26">
        <f>(Y73/D73)*100</f>
        <v>11.794221052631579</v>
      </c>
      <c r="AB73"/>
    </row>
    <row r="74" spans="1:32" ht="25.5">
      <c r="B74" s="399" t="s">
        <v>354</v>
      </c>
      <c r="C74" s="24">
        <v>400</v>
      </c>
      <c r="D74" s="23">
        <v>400</v>
      </c>
      <c r="E74" s="466">
        <v>0</v>
      </c>
      <c r="F74" s="34">
        <v>23.056550000000001</v>
      </c>
      <c r="G74" s="34">
        <f>F74-E74</f>
        <v>23.056550000000001</v>
      </c>
      <c r="H74" s="34">
        <v>26.31024</v>
      </c>
      <c r="I74" s="34">
        <f>H74-F74</f>
        <v>3.2536899999999989</v>
      </c>
      <c r="J74" s="34">
        <v>26.31024</v>
      </c>
      <c r="K74" s="25">
        <f>J74-H74</f>
        <v>0</v>
      </c>
      <c r="L74" s="34">
        <v>49.478110000000001</v>
      </c>
      <c r="M74" s="34">
        <f>L74-J74</f>
        <v>23.167870000000001</v>
      </c>
      <c r="N74" s="34">
        <v>49.478110000000001</v>
      </c>
      <c r="O74" s="34">
        <f>N74-L74</f>
        <v>0</v>
      </c>
      <c r="P74" s="34">
        <v>228.07894999999999</v>
      </c>
      <c r="Q74" s="25">
        <f>P74-N74</f>
        <v>178.60084000000001</v>
      </c>
      <c r="R74" s="34">
        <v>228.07894999999999</v>
      </c>
      <c r="S74" s="34">
        <f>R74-P74</f>
        <v>0</v>
      </c>
      <c r="T74" s="34"/>
      <c r="U74" s="34"/>
      <c r="V74" s="34"/>
      <c r="W74" s="34"/>
      <c r="X74" s="34"/>
      <c r="Y74" s="25">
        <f>E74+G74+I74+K74+M74+O74+Q74+S74+U74+W74</f>
        <v>228.07895000000002</v>
      </c>
      <c r="Z74" s="26">
        <f>(Y74/C74)*100</f>
        <v>57.019737499999998</v>
      </c>
      <c r="AA74" s="26">
        <f>(Y74/D74)*100</f>
        <v>57.019737499999998</v>
      </c>
      <c r="AB74"/>
    </row>
    <row r="75" spans="1:32">
      <c r="B75" s="18" t="s">
        <v>10</v>
      </c>
      <c r="C75" s="19">
        <f>SUM(C72:C74)</f>
        <v>600</v>
      </c>
      <c r="D75" s="19">
        <f t="shared" ref="D75:Y75" si="27">SUM(D72:D74)</f>
        <v>600</v>
      </c>
      <c r="E75" s="19">
        <f t="shared" si="27"/>
        <v>2.028</v>
      </c>
      <c r="F75" s="19">
        <f t="shared" si="27"/>
        <v>25.08455</v>
      </c>
      <c r="G75" s="19">
        <f t="shared" si="27"/>
        <v>23.056550000000001</v>
      </c>
      <c r="H75" s="19">
        <f t="shared" si="27"/>
        <v>28.338239999999999</v>
      </c>
      <c r="I75" s="19">
        <f t="shared" si="27"/>
        <v>3.2536899999999989</v>
      </c>
      <c r="J75" s="19">
        <f t="shared" si="27"/>
        <v>38.623509999999996</v>
      </c>
      <c r="K75" s="19">
        <f t="shared" si="27"/>
        <v>10.285269999999999</v>
      </c>
      <c r="L75" s="20">
        <f t="shared" si="27"/>
        <v>63.455129999999997</v>
      </c>
      <c r="M75" s="20">
        <f t="shared" si="27"/>
        <v>24.831620000000001</v>
      </c>
      <c r="N75" s="20">
        <f t="shared" si="27"/>
        <v>73.657849999999996</v>
      </c>
      <c r="O75" s="20">
        <f t="shared" si="27"/>
        <v>10.202719999999999</v>
      </c>
      <c r="P75" s="20">
        <f t="shared" si="27"/>
        <v>250.48796999999999</v>
      </c>
      <c r="Q75" s="20">
        <f t="shared" si="27"/>
        <v>176.83012000000002</v>
      </c>
      <c r="R75" s="20">
        <f t="shared" si="27"/>
        <v>250.48796999999999</v>
      </c>
      <c r="S75" s="20">
        <f t="shared" si="27"/>
        <v>0</v>
      </c>
      <c r="T75" s="20">
        <f t="shared" si="27"/>
        <v>0</v>
      </c>
      <c r="U75" s="20">
        <f t="shared" si="27"/>
        <v>0</v>
      </c>
      <c r="V75" s="20">
        <f t="shared" si="27"/>
        <v>0</v>
      </c>
      <c r="W75" s="20">
        <f t="shared" si="27"/>
        <v>0</v>
      </c>
      <c r="X75" s="20"/>
      <c r="Y75" s="20">
        <f t="shared" si="27"/>
        <v>250.48797000000002</v>
      </c>
      <c r="Z75" s="18">
        <f>(Y75/C75)*100</f>
        <v>41.747995000000003</v>
      </c>
      <c r="AA75" s="18">
        <f>(Y75/D75)*100</f>
        <v>41.747995000000003</v>
      </c>
      <c r="AB75"/>
    </row>
    <row r="76" spans="1:32" ht="17.25" customHeight="1">
      <c r="B76" s="4"/>
      <c r="C76" s="5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395"/>
      <c r="AB76"/>
    </row>
    <row r="77" spans="1:32" ht="17.25" customHeight="1">
      <c r="B77" s="4"/>
      <c r="C77" s="5"/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395"/>
      <c r="AB77"/>
    </row>
    <row r="78" spans="1:32" ht="43.5" customHeight="1">
      <c r="A78" s="75" t="s">
        <v>313</v>
      </c>
      <c r="B78" s="490" t="s">
        <v>569</v>
      </c>
      <c r="C78" s="507" t="s">
        <v>524</v>
      </c>
      <c r="D78" s="508" t="s">
        <v>315</v>
      </c>
      <c r="E78" s="393" t="s">
        <v>523</v>
      </c>
      <c r="F78" s="393" t="s">
        <v>525</v>
      </c>
      <c r="G78" s="460" t="s">
        <v>534</v>
      </c>
      <c r="H78" s="393" t="s">
        <v>526</v>
      </c>
      <c r="I78" s="460" t="s">
        <v>535</v>
      </c>
      <c r="J78" s="393" t="s">
        <v>527</v>
      </c>
      <c r="K78" s="460" t="s">
        <v>536</v>
      </c>
      <c r="L78" s="393" t="s">
        <v>528</v>
      </c>
      <c r="M78" s="460" t="s">
        <v>537</v>
      </c>
      <c r="N78" s="393" t="s">
        <v>529</v>
      </c>
      <c r="O78" s="460" t="s">
        <v>538</v>
      </c>
      <c r="P78" s="393" t="s">
        <v>530</v>
      </c>
      <c r="Q78" s="460" t="s">
        <v>539</v>
      </c>
      <c r="R78" s="393" t="s">
        <v>531</v>
      </c>
      <c r="S78" s="460" t="s">
        <v>540</v>
      </c>
      <c r="T78" s="393" t="s">
        <v>532</v>
      </c>
      <c r="U78" s="460" t="s">
        <v>541</v>
      </c>
      <c r="V78" s="393" t="s">
        <v>533</v>
      </c>
      <c r="W78" s="460" t="s">
        <v>542</v>
      </c>
      <c r="X78" s="10"/>
      <c r="Y78" s="393" t="s">
        <v>543</v>
      </c>
      <c r="Z78" s="492"/>
      <c r="AA78" s="493"/>
      <c r="AB78"/>
      <c r="AC78" s="495"/>
      <c r="AE78" s="496"/>
      <c r="AF78" s="497"/>
    </row>
    <row r="79" spans="1:32" ht="60" customHeight="1">
      <c r="A79" s="2" t="s">
        <v>596</v>
      </c>
      <c r="B79" s="491" t="s">
        <v>622</v>
      </c>
      <c r="C79" s="23">
        <v>100</v>
      </c>
      <c r="D79" s="23">
        <v>760</v>
      </c>
      <c r="E79" s="34">
        <v>0</v>
      </c>
      <c r="F79" s="34"/>
      <c r="G79" s="34"/>
      <c r="H79" s="34"/>
      <c r="I79" s="34">
        <f>H79-F79</f>
        <v>0</v>
      </c>
      <c r="J79" s="34">
        <v>24.2</v>
      </c>
      <c r="K79" s="25">
        <f>J79-H79</f>
        <v>24.2</v>
      </c>
      <c r="L79" s="34">
        <v>24.2</v>
      </c>
      <c r="M79" s="34">
        <f>L79-J79</f>
        <v>0</v>
      </c>
      <c r="N79" s="34">
        <v>24.2</v>
      </c>
      <c r="O79" s="34">
        <f>N79-L79</f>
        <v>0</v>
      </c>
      <c r="P79" s="34">
        <v>24.2</v>
      </c>
      <c r="Q79" s="25">
        <f>P79-N79</f>
        <v>0</v>
      </c>
      <c r="R79" s="34">
        <v>33.396000000000001</v>
      </c>
      <c r="S79" s="34">
        <f>R79-P79</f>
        <v>9.1960000000000015</v>
      </c>
      <c r="T79" s="34"/>
      <c r="U79" s="34"/>
      <c r="V79" s="34"/>
      <c r="W79" s="34"/>
      <c r="X79" s="34"/>
      <c r="Y79" s="25">
        <f>E79+G79+I79+K79+M79+O79+Q79+S79+U79+W79</f>
        <v>33.396000000000001</v>
      </c>
      <c r="Z79" s="494"/>
      <c r="AA79" s="494"/>
      <c r="AB79"/>
      <c r="AC79" s="501" t="s">
        <v>566</v>
      </c>
      <c r="AE79" s="497"/>
      <c r="AF79" s="497"/>
    </row>
    <row r="80" spans="1:32" ht="14.25" customHeight="1">
      <c r="B80" s="41" t="s">
        <v>10</v>
      </c>
      <c r="C80" s="42">
        <f>C79</f>
        <v>100</v>
      </c>
      <c r="D80" s="42">
        <f>D79</f>
        <v>760</v>
      </c>
      <c r="E80" s="417">
        <f>SUM(E79)</f>
        <v>0</v>
      </c>
      <c r="F80" s="417">
        <f t="shared" ref="F80:W80" si="28">SUM(F79)</f>
        <v>0</v>
      </c>
      <c r="G80" s="417">
        <f t="shared" si="28"/>
        <v>0</v>
      </c>
      <c r="H80" s="417">
        <f t="shared" si="28"/>
        <v>0</v>
      </c>
      <c r="I80" s="417">
        <f t="shared" si="28"/>
        <v>0</v>
      </c>
      <c r="J80" s="417">
        <f t="shared" si="28"/>
        <v>24.2</v>
      </c>
      <c r="K80" s="417">
        <f t="shared" si="28"/>
        <v>24.2</v>
      </c>
      <c r="L80" s="417">
        <f t="shared" si="28"/>
        <v>24.2</v>
      </c>
      <c r="M80" s="417">
        <f t="shared" si="28"/>
        <v>0</v>
      </c>
      <c r="N80" s="417">
        <f t="shared" si="28"/>
        <v>24.2</v>
      </c>
      <c r="O80" s="417">
        <f t="shared" si="28"/>
        <v>0</v>
      </c>
      <c r="P80" s="417">
        <f t="shared" si="28"/>
        <v>24.2</v>
      </c>
      <c r="Q80" s="417">
        <f t="shared" si="28"/>
        <v>0</v>
      </c>
      <c r="R80" s="417">
        <f t="shared" si="28"/>
        <v>33.396000000000001</v>
      </c>
      <c r="S80" s="417">
        <f t="shared" si="28"/>
        <v>9.1960000000000015</v>
      </c>
      <c r="T80" s="417">
        <f t="shared" si="28"/>
        <v>0</v>
      </c>
      <c r="U80" s="417">
        <f t="shared" si="28"/>
        <v>0</v>
      </c>
      <c r="V80" s="417">
        <f t="shared" si="28"/>
        <v>0</v>
      </c>
      <c r="W80" s="417">
        <f t="shared" si="28"/>
        <v>0</v>
      </c>
      <c r="X80" s="417"/>
      <c r="Y80" s="417">
        <f>SUM(Y79)</f>
        <v>33.396000000000001</v>
      </c>
      <c r="Z80" s="41"/>
      <c r="AA80" s="41"/>
      <c r="AB80"/>
      <c r="AC80" s="499">
        <f>Y80+Y75</f>
        <v>283.88397000000003</v>
      </c>
      <c r="AE80" s="417"/>
      <c r="AF80" s="417"/>
    </row>
    <row r="81" spans="1:32" ht="14.25" customHeight="1">
      <c r="B81" s="41"/>
      <c r="C81" s="42"/>
      <c r="D81" s="42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"/>
      <c r="AA81" s="41"/>
      <c r="AB81"/>
      <c r="AC81" s="561"/>
      <c r="AE81" s="417"/>
      <c r="AF81" s="417"/>
    </row>
    <row r="82" spans="1:32" ht="17.25" customHeight="1">
      <c r="B82" s="564" t="s">
        <v>642</v>
      </c>
      <c r="C82" s="565">
        <f>C75+C80</f>
        <v>700</v>
      </c>
      <c r="D82" s="565">
        <f>D75+D80</f>
        <v>1360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395"/>
      <c r="AB82"/>
    </row>
    <row r="83" spans="1:32" ht="17.25" customHeight="1">
      <c r="B83" s="4"/>
      <c r="C83" s="5"/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395"/>
      <c r="AB83"/>
    </row>
    <row r="84" spans="1:32">
      <c r="A84" s="75" t="s">
        <v>313</v>
      </c>
      <c r="B84" s="36" t="s">
        <v>16</v>
      </c>
      <c r="C84" s="498"/>
      <c r="D84" s="3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38"/>
      <c r="AA84" s="38"/>
      <c r="AB84"/>
    </row>
    <row r="85" spans="1:32" ht="38.25">
      <c r="A85" s="75" t="s">
        <v>355</v>
      </c>
      <c r="B85" s="400" t="s">
        <v>356</v>
      </c>
      <c r="C85" s="23">
        <v>100</v>
      </c>
      <c r="D85" s="23">
        <v>300</v>
      </c>
      <c r="E85" s="34">
        <v>30.613</v>
      </c>
      <c r="F85" s="34">
        <v>30.613</v>
      </c>
      <c r="G85" s="34"/>
      <c r="H85" s="34">
        <v>30.613</v>
      </c>
      <c r="I85" s="34">
        <f>H85-F85</f>
        <v>0</v>
      </c>
      <c r="J85" s="34">
        <v>30.613</v>
      </c>
      <c r="K85" s="25">
        <f>J85-H85</f>
        <v>0</v>
      </c>
      <c r="L85" s="34">
        <v>30.613</v>
      </c>
      <c r="M85" s="34">
        <f>L85-J85</f>
        <v>0</v>
      </c>
      <c r="N85" s="34">
        <v>58.906999999999996</v>
      </c>
      <c r="O85" s="34">
        <f>N85-L85</f>
        <v>28.293999999999997</v>
      </c>
      <c r="P85" s="34">
        <v>58.906999999999996</v>
      </c>
      <c r="Q85" s="25">
        <f>P85-N85</f>
        <v>0</v>
      </c>
      <c r="R85" s="34">
        <v>252.506</v>
      </c>
      <c r="S85" s="34">
        <f>R85-P85</f>
        <v>193.59899999999999</v>
      </c>
      <c r="T85" s="34"/>
      <c r="U85" s="34"/>
      <c r="V85" s="34"/>
      <c r="W85" s="34"/>
      <c r="X85" s="34"/>
      <c r="Y85" s="25">
        <f>E85+G85+I85+K85+M85+O85+Q85+S85+U85+W85</f>
        <v>252.50599999999997</v>
      </c>
      <c r="Z85" s="26">
        <f>(Y85/C85)*100</f>
        <v>252.50599999999997</v>
      </c>
      <c r="AA85" s="26">
        <f>(Y85/D85)*100</f>
        <v>84.168666666666653</v>
      </c>
      <c r="AB85"/>
    </row>
    <row r="86" spans="1:32" ht="51" customHeight="1">
      <c r="B86" s="399" t="s">
        <v>357</v>
      </c>
      <c r="C86" s="23">
        <v>300</v>
      </c>
      <c r="D86" s="23">
        <v>100</v>
      </c>
      <c r="E86" s="34">
        <v>81.109930000000006</v>
      </c>
      <c r="F86" s="34">
        <v>82.804929999999999</v>
      </c>
      <c r="G86" s="34">
        <f>F86-E86</f>
        <v>1.6949999999999932</v>
      </c>
      <c r="H86" s="34">
        <v>82.804929999999999</v>
      </c>
      <c r="I86" s="34">
        <f>H86-F86</f>
        <v>0</v>
      </c>
      <c r="J86" s="34">
        <v>85.976929999999996</v>
      </c>
      <c r="K86" s="25">
        <f>J86-H86</f>
        <v>3.171999999999997</v>
      </c>
      <c r="L86" s="34">
        <v>89.840459999999993</v>
      </c>
      <c r="M86" s="34">
        <f>L86-J86</f>
        <v>3.8635299999999972</v>
      </c>
      <c r="N86" s="34">
        <v>89.840459999999993</v>
      </c>
      <c r="O86" s="34">
        <f>N86-L86</f>
        <v>0</v>
      </c>
      <c r="P86" s="34">
        <v>89.840459999999993</v>
      </c>
      <c r="Q86" s="25">
        <f>P86-N86</f>
        <v>0</v>
      </c>
      <c r="R86" s="34">
        <v>89.840459999999993</v>
      </c>
      <c r="S86" s="34">
        <f>R86-P86</f>
        <v>0</v>
      </c>
      <c r="T86" s="34"/>
      <c r="U86" s="34"/>
      <c r="V86" s="34"/>
      <c r="W86" s="34"/>
      <c r="X86" s="34"/>
      <c r="Y86" s="25">
        <f>E86+G86+I86+K86+M86+O86+Q86+S86+U86+W86</f>
        <v>89.840459999999993</v>
      </c>
      <c r="Z86" s="26">
        <f>(Y86/C86)*100</f>
        <v>29.946819999999995</v>
      </c>
      <c r="AA86" s="26">
        <f>(Y86/D86)*100</f>
        <v>89.840459999999993</v>
      </c>
      <c r="AB86"/>
    </row>
    <row r="87" spans="1:32">
      <c r="B87" s="18" t="s">
        <v>10</v>
      </c>
      <c r="C87" s="19">
        <f>SUM(C85:C86)</f>
        <v>400</v>
      </c>
      <c r="D87" s="19">
        <f t="shared" ref="D87:Y87" si="29">SUM(D85:D86)</f>
        <v>400</v>
      </c>
      <c r="E87" s="19">
        <f t="shared" si="29"/>
        <v>111.72293000000001</v>
      </c>
      <c r="F87" s="19">
        <f t="shared" si="29"/>
        <v>113.41793</v>
      </c>
      <c r="G87" s="19">
        <f t="shared" si="29"/>
        <v>1.6949999999999932</v>
      </c>
      <c r="H87" s="19">
        <f t="shared" si="29"/>
        <v>113.41793</v>
      </c>
      <c r="I87" s="19">
        <f t="shared" si="29"/>
        <v>0</v>
      </c>
      <c r="J87" s="19">
        <f t="shared" si="29"/>
        <v>116.58993</v>
      </c>
      <c r="K87" s="19">
        <f t="shared" si="29"/>
        <v>3.171999999999997</v>
      </c>
      <c r="L87" s="20">
        <f t="shared" si="29"/>
        <v>120.45345999999999</v>
      </c>
      <c r="M87" s="20">
        <f t="shared" si="29"/>
        <v>3.8635299999999972</v>
      </c>
      <c r="N87" s="20">
        <f t="shared" si="29"/>
        <v>148.74745999999999</v>
      </c>
      <c r="O87" s="20">
        <f t="shared" si="29"/>
        <v>28.293999999999997</v>
      </c>
      <c r="P87" s="20">
        <f t="shared" si="29"/>
        <v>148.74745999999999</v>
      </c>
      <c r="Q87" s="20">
        <f t="shared" si="29"/>
        <v>0</v>
      </c>
      <c r="R87" s="20">
        <f t="shared" si="29"/>
        <v>342.34645999999998</v>
      </c>
      <c r="S87" s="20">
        <f t="shared" si="29"/>
        <v>193.59899999999999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/>
      <c r="Y87" s="20">
        <f t="shared" si="29"/>
        <v>342.34645999999998</v>
      </c>
      <c r="Z87" s="18">
        <f>(Y87/C87)*100</f>
        <v>85.586614999999995</v>
      </c>
      <c r="AA87" s="18">
        <f>(Y87/D87)*100</f>
        <v>85.586614999999995</v>
      </c>
      <c r="AB87"/>
    </row>
    <row r="88" spans="1:32" ht="17.25" customHeight="1">
      <c r="B88" s="4"/>
      <c r="C88" s="5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395"/>
      <c r="AB88"/>
    </row>
    <row r="89" spans="1:32" ht="17.25" customHeight="1">
      <c r="B89" s="4"/>
      <c r="C89" s="5"/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395"/>
      <c r="AB89"/>
    </row>
    <row r="90" spans="1:32" ht="43.5" customHeight="1">
      <c r="A90" s="75" t="s">
        <v>313</v>
      </c>
      <c r="B90" s="490" t="s">
        <v>570</v>
      </c>
      <c r="C90" s="507" t="s">
        <v>524</v>
      </c>
      <c r="D90" s="508" t="s">
        <v>315</v>
      </c>
      <c r="E90" s="393" t="s">
        <v>523</v>
      </c>
      <c r="F90" s="393" t="s">
        <v>525</v>
      </c>
      <c r="G90" s="460" t="s">
        <v>534</v>
      </c>
      <c r="H90" s="393" t="s">
        <v>526</v>
      </c>
      <c r="I90" s="460" t="s">
        <v>535</v>
      </c>
      <c r="J90" s="393" t="s">
        <v>527</v>
      </c>
      <c r="K90" s="460" t="s">
        <v>536</v>
      </c>
      <c r="L90" s="393" t="s">
        <v>528</v>
      </c>
      <c r="M90" s="460" t="s">
        <v>537</v>
      </c>
      <c r="N90" s="393" t="s">
        <v>529</v>
      </c>
      <c r="O90" s="460" t="s">
        <v>538</v>
      </c>
      <c r="P90" s="393" t="s">
        <v>530</v>
      </c>
      <c r="Q90" s="460" t="s">
        <v>539</v>
      </c>
      <c r="R90" s="393" t="s">
        <v>531</v>
      </c>
      <c r="S90" s="460" t="s">
        <v>540</v>
      </c>
      <c r="T90" s="393" t="s">
        <v>532</v>
      </c>
      <c r="U90" s="460" t="s">
        <v>541</v>
      </c>
      <c r="V90" s="393" t="s">
        <v>533</v>
      </c>
      <c r="W90" s="460" t="s">
        <v>542</v>
      </c>
      <c r="X90" s="10"/>
      <c r="Y90" s="393" t="s">
        <v>543</v>
      </c>
      <c r="Z90" s="492"/>
      <c r="AA90" s="493"/>
      <c r="AB90"/>
      <c r="AC90" s="495"/>
      <c r="AE90" s="496"/>
      <c r="AF90" s="497"/>
    </row>
    <row r="91" spans="1:32" ht="91.5" customHeight="1">
      <c r="A91" s="2" t="s">
        <v>595</v>
      </c>
      <c r="B91" s="491" t="s">
        <v>623</v>
      </c>
      <c r="C91" s="23">
        <v>500</v>
      </c>
      <c r="D91" s="23">
        <v>2570</v>
      </c>
      <c r="E91" s="34">
        <v>0</v>
      </c>
      <c r="F91" s="34">
        <v>457.62925999999999</v>
      </c>
      <c r="G91" s="34">
        <f>F91-E91</f>
        <v>457.62925999999999</v>
      </c>
      <c r="H91" s="34">
        <v>457.62925999999999</v>
      </c>
      <c r="I91" s="34">
        <f>H91-F91</f>
        <v>0</v>
      </c>
      <c r="J91" s="34">
        <v>479.40926000000002</v>
      </c>
      <c r="K91" s="25">
        <f>J91-H91</f>
        <v>21.78000000000003</v>
      </c>
      <c r="L91" s="34">
        <v>479.40926000000002</v>
      </c>
      <c r="M91" s="34">
        <f>L91-J91</f>
        <v>0</v>
      </c>
      <c r="N91" s="34">
        <v>482.00785999999999</v>
      </c>
      <c r="O91" s="34">
        <f>N91-L91</f>
        <v>2.5985999999999763</v>
      </c>
      <c r="P91" s="34">
        <v>2070.36688</v>
      </c>
      <c r="Q91" s="25">
        <f>P91-N91</f>
        <v>1588.3590200000001</v>
      </c>
      <c r="R91" s="34">
        <v>2074.96488</v>
      </c>
      <c r="S91" s="34">
        <f>R91-P91</f>
        <v>4.5979999999999563</v>
      </c>
      <c r="T91" s="34"/>
      <c r="U91" s="34"/>
      <c r="V91" s="34"/>
      <c r="W91" s="34"/>
      <c r="X91" s="34"/>
      <c r="Y91" s="25">
        <f>E91+G91+I91+K91+M91+O91+Q91+S91+U91+W91</f>
        <v>2074.96488</v>
      </c>
      <c r="Z91" s="494"/>
      <c r="AA91" s="494"/>
      <c r="AB91"/>
      <c r="AC91" s="501" t="s">
        <v>602</v>
      </c>
      <c r="AE91" s="497"/>
      <c r="AF91" s="497"/>
    </row>
    <row r="92" spans="1:32" ht="14.25" customHeight="1">
      <c r="B92" s="41" t="s">
        <v>10</v>
      </c>
      <c r="C92" s="42">
        <f>C91</f>
        <v>500</v>
      </c>
      <c r="D92" s="42">
        <f>D91</f>
        <v>2570</v>
      </c>
      <c r="E92" s="417">
        <f>SUM(E91)</f>
        <v>0</v>
      </c>
      <c r="F92" s="417">
        <f t="shared" ref="F92:W92" si="30">SUM(F91)</f>
        <v>457.62925999999999</v>
      </c>
      <c r="G92" s="417">
        <f t="shared" si="30"/>
        <v>457.62925999999999</v>
      </c>
      <c r="H92" s="417">
        <f t="shared" si="30"/>
        <v>457.62925999999999</v>
      </c>
      <c r="I92" s="417">
        <f t="shared" si="30"/>
        <v>0</v>
      </c>
      <c r="J92" s="417">
        <f t="shared" si="30"/>
        <v>479.40926000000002</v>
      </c>
      <c r="K92" s="417">
        <f t="shared" si="30"/>
        <v>21.78000000000003</v>
      </c>
      <c r="L92" s="417">
        <f t="shared" si="30"/>
        <v>479.40926000000002</v>
      </c>
      <c r="M92" s="417">
        <f t="shared" si="30"/>
        <v>0</v>
      </c>
      <c r="N92" s="417">
        <f t="shared" si="30"/>
        <v>482.00785999999999</v>
      </c>
      <c r="O92" s="417">
        <f t="shared" si="30"/>
        <v>2.5985999999999763</v>
      </c>
      <c r="P92" s="530">
        <f t="shared" si="30"/>
        <v>2070.36688</v>
      </c>
      <c r="Q92" s="530">
        <f t="shared" si="30"/>
        <v>1588.3590200000001</v>
      </c>
      <c r="R92" s="530">
        <f t="shared" si="30"/>
        <v>2074.96488</v>
      </c>
      <c r="S92" s="530">
        <f t="shared" si="30"/>
        <v>4.5979999999999563</v>
      </c>
      <c r="T92" s="530">
        <f t="shared" si="30"/>
        <v>0</v>
      </c>
      <c r="U92" s="530">
        <f t="shared" si="30"/>
        <v>0</v>
      </c>
      <c r="V92" s="530">
        <f t="shared" si="30"/>
        <v>0</v>
      </c>
      <c r="W92" s="530">
        <f t="shared" si="30"/>
        <v>0</v>
      </c>
      <c r="X92" s="530"/>
      <c r="Y92" s="530">
        <f>SUM(Y91)</f>
        <v>2074.96488</v>
      </c>
      <c r="Z92" s="41"/>
      <c r="AA92" s="41"/>
      <c r="AB92"/>
      <c r="AC92" s="499">
        <f>Y92+Y87</f>
        <v>2417.3113400000002</v>
      </c>
      <c r="AE92" s="417"/>
      <c r="AF92" s="417"/>
    </row>
    <row r="93" spans="1:32" ht="17.25" customHeight="1">
      <c r="B93" s="4"/>
      <c r="C93" s="5"/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395"/>
      <c r="AB93"/>
    </row>
    <row r="94" spans="1:32" ht="18.75" customHeight="1">
      <c r="B94" s="564" t="s">
        <v>643</v>
      </c>
      <c r="C94" s="565">
        <f>C87+C92</f>
        <v>900</v>
      </c>
      <c r="D94" s="565">
        <f>D87+D92</f>
        <v>2970</v>
      </c>
      <c r="E94" s="20">
        <f t="shared" ref="E94:K94" si="31">SUM(E87+E75)</f>
        <v>113.75093000000001</v>
      </c>
      <c r="F94" s="20">
        <f t="shared" si="31"/>
        <v>138.50247999999999</v>
      </c>
      <c r="G94" s="20">
        <f t="shared" si="31"/>
        <v>24.751549999999995</v>
      </c>
      <c r="H94" s="20">
        <f t="shared" si="31"/>
        <v>141.75617</v>
      </c>
      <c r="I94" s="20">
        <f t="shared" si="31"/>
        <v>3.2536899999999989</v>
      </c>
      <c r="J94" s="20">
        <f t="shared" si="31"/>
        <v>155.21343999999999</v>
      </c>
      <c r="K94" s="20">
        <f t="shared" si="31"/>
        <v>13.457269999999996</v>
      </c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"/>
      <c r="AA94" s="41"/>
      <c r="AB94"/>
    </row>
    <row r="95" spans="1:32" ht="17.25" customHeight="1">
      <c r="B95" s="4"/>
      <c r="C95" s="5"/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395"/>
      <c r="AB95"/>
    </row>
    <row r="96" spans="1:32" ht="39" customHeight="1">
      <c r="A96" s="75" t="s">
        <v>313</v>
      </c>
      <c r="B96" s="8" t="s">
        <v>358</v>
      </c>
      <c r="C96" s="507" t="s">
        <v>524</v>
      </c>
      <c r="D96" s="508" t="s">
        <v>315</v>
      </c>
      <c r="E96" s="393" t="s">
        <v>523</v>
      </c>
      <c r="F96" s="393" t="s">
        <v>525</v>
      </c>
      <c r="G96" s="460" t="s">
        <v>534</v>
      </c>
      <c r="H96" s="393" t="s">
        <v>526</v>
      </c>
      <c r="I96" s="460" t="s">
        <v>535</v>
      </c>
      <c r="J96" s="393" t="s">
        <v>527</v>
      </c>
      <c r="K96" s="460" t="s">
        <v>536</v>
      </c>
      <c r="L96" s="393" t="s">
        <v>528</v>
      </c>
      <c r="M96" s="460" t="s">
        <v>537</v>
      </c>
      <c r="N96" s="393" t="s">
        <v>529</v>
      </c>
      <c r="O96" s="460" t="s">
        <v>538</v>
      </c>
      <c r="P96" s="393" t="s">
        <v>530</v>
      </c>
      <c r="Q96" s="460" t="s">
        <v>539</v>
      </c>
      <c r="R96" s="393" t="s">
        <v>531</v>
      </c>
      <c r="S96" s="460" t="s">
        <v>540</v>
      </c>
      <c r="T96" s="393" t="s">
        <v>532</v>
      </c>
      <c r="U96" s="460" t="s">
        <v>541</v>
      </c>
      <c r="V96" s="393" t="s">
        <v>533</v>
      </c>
      <c r="W96" s="460" t="s">
        <v>542</v>
      </c>
      <c r="X96" s="10"/>
      <c r="Y96" s="393" t="s">
        <v>543</v>
      </c>
      <c r="Z96" s="10" t="s">
        <v>309</v>
      </c>
      <c r="AA96" s="396" t="s">
        <v>7</v>
      </c>
      <c r="AB96"/>
    </row>
    <row r="97" spans="1:28" ht="25.5">
      <c r="A97" s="75" t="s">
        <v>359</v>
      </c>
      <c r="B97" s="399" t="s">
        <v>360</v>
      </c>
      <c r="C97" s="402"/>
      <c r="D97" s="403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5"/>
      <c r="AA97" s="405"/>
      <c r="AB97"/>
    </row>
    <row r="98" spans="1:28">
      <c r="B98" s="43" t="s">
        <v>17</v>
      </c>
      <c r="C98" s="44">
        <v>186.41</v>
      </c>
      <c r="D98" s="2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/>
    </row>
    <row r="99" spans="1:28">
      <c r="B99" s="43" t="s">
        <v>18</v>
      </c>
      <c r="C99" s="44">
        <f>C120</f>
        <v>1485</v>
      </c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  <c r="AA99" s="15"/>
      <c r="AB99"/>
    </row>
    <row r="100" spans="1:28">
      <c r="B100" s="18" t="s">
        <v>10</v>
      </c>
      <c r="C100" s="19">
        <f>SUM(C98:C99)</f>
        <v>1671.41</v>
      </c>
      <c r="D100" s="76">
        <v>1671.41</v>
      </c>
      <c r="E100" s="76">
        <v>297</v>
      </c>
      <c r="F100" s="76">
        <v>445.5</v>
      </c>
      <c r="G100" s="76">
        <f>F100-E100</f>
        <v>148.5</v>
      </c>
      <c r="H100" s="76">
        <v>594</v>
      </c>
      <c r="I100" s="76">
        <f>H100-F100</f>
        <v>148.5</v>
      </c>
      <c r="J100" s="76">
        <v>928.91300000000001</v>
      </c>
      <c r="K100" s="76">
        <f>J100-H100</f>
        <v>334.91300000000001</v>
      </c>
      <c r="L100" s="76">
        <v>1077.413</v>
      </c>
      <c r="M100" s="76">
        <f>L100-J100</f>
        <v>148.5</v>
      </c>
      <c r="N100" s="76">
        <v>1225.913</v>
      </c>
      <c r="O100" s="76">
        <f>N100-L100</f>
        <v>148.5</v>
      </c>
      <c r="P100" s="76">
        <v>1374.413</v>
      </c>
      <c r="Q100" s="76">
        <f>P100-N100</f>
        <v>148.5</v>
      </c>
      <c r="R100" s="76">
        <v>1522.913</v>
      </c>
      <c r="S100" s="76">
        <f>R100-P100</f>
        <v>148.5</v>
      </c>
      <c r="T100" s="19"/>
      <c r="U100" s="19"/>
      <c r="V100" s="19"/>
      <c r="W100" s="19"/>
      <c r="X100" s="19"/>
      <c r="Y100" s="76">
        <f>E100+G100+I100+K100+M100+O100+Q100+S100+U100+W100</f>
        <v>1522.913</v>
      </c>
      <c r="Z100" s="18">
        <f>(Y100/C100)*100</f>
        <v>91.115465385512834</v>
      </c>
      <c r="AA100" s="18">
        <f>(Y100/D100)*100</f>
        <v>91.115465385512834</v>
      </c>
      <c r="AB100"/>
    </row>
    <row r="101" spans="1:28" hidden="1">
      <c r="B101" s="41"/>
      <c r="C101" s="42"/>
      <c r="D101" s="42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7"/>
      <c r="AB101"/>
    </row>
    <row r="102" spans="1:28" hidden="1">
      <c r="B102" s="408" t="s">
        <v>361</v>
      </c>
      <c r="C102" s="44"/>
      <c r="D102" s="409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7"/>
      <c r="AB102"/>
    </row>
    <row r="103" spans="1:28" hidden="1">
      <c r="B103" s="43" t="s">
        <v>19</v>
      </c>
      <c r="C103" s="13">
        <v>450</v>
      </c>
      <c r="D103" s="410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07"/>
      <c r="AB103"/>
    </row>
    <row r="104" spans="1:28" hidden="1">
      <c r="B104" s="43" t="s">
        <v>13</v>
      </c>
      <c r="C104" s="13">
        <v>120</v>
      </c>
      <c r="D104" s="410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07"/>
      <c r="AB104"/>
    </row>
    <row r="105" spans="1:28" hidden="1">
      <c r="B105" s="43" t="s">
        <v>362</v>
      </c>
      <c r="C105" s="13">
        <v>120</v>
      </c>
      <c r="D105" s="41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07"/>
      <c r="AB105"/>
    </row>
    <row r="106" spans="1:28" hidden="1">
      <c r="B106" s="43" t="s">
        <v>363</v>
      </c>
      <c r="C106" s="13">
        <v>100</v>
      </c>
      <c r="D106" s="41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07"/>
      <c r="AB106"/>
    </row>
    <row r="107" spans="1:28" hidden="1">
      <c r="B107" s="43" t="s">
        <v>364</v>
      </c>
      <c r="C107" s="13">
        <v>30</v>
      </c>
      <c r="D107" s="41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07"/>
      <c r="AB107"/>
    </row>
    <row r="108" spans="1:28" hidden="1">
      <c r="B108" s="43" t="s">
        <v>365</v>
      </c>
      <c r="C108" s="13">
        <v>30</v>
      </c>
      <c r="D108" s="41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07"/>
      <c r="AB108"/>
    </row>
    <row r="109" spans="1:28" hidden="1">
      <c r="B109" s="43" t="s">
        <v>366</v>
      </c>
      <c r="C109" s="13">
        <v>10</v>
      </c>
      <c r="D109" s="410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07"/>
      <c r="AB109"/>
    </row>
    <row r="110" spans="1:28" hidden="1">
      <c r="B110" s="43" t="s">
        <v>367</v>
      </c>
      <c r="C110" s="13">
        <v>40</v>
      </c>
      <c r="D110" s="410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07"/>
      <c r="AB110"/>
    </row>
    <row r="111" spans="1:28" hidden="1">
      <c r="B111" s="43" t="s">
        <v>368</v>
      </c>
      <c r="C111" s="13">
        <v>30</v>
      </c>
      <c r="D111" s="410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07"/>
      <c r="AB111"/>
    </row>
    <row r="112" spans="1:28" hidden="1">
      <c r="B112" s="43" t="s">
        <v>369</v>
      </c>
      <c r="C112" s="13">
        <v>50</v>
      </c>
      <c r="D112" s="410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07"/>
      <c r="AB112"/>
    </row>
    <row r="113" spans="1:28" hidden="1">
      <c r="B113" s="43" t="s">
        <v>370</v>
      </c>
      <c r="C113" s="13">
        <v>130</v>
      </c>
      <c r="D113" s="410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07"/>
      <c r="AB113"/>
    </row>
    <row r="114" spans="1:28" hidden="1">
      <c r="B114" s="43" t="s">
        <v>371</v>
      </c>
      <c r="C114" s="13">
        <v>100</v>
      </c>
      <c r="D114" s="410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07"/>
      <c r="AB114"/>
    </row>
    <row r="115" spans="1:28" hidden="1">
      <c r="B115" s="43" t="s">
        <v>372</v>
      </c>
      <c r="C115" s="13">
        <v>100</v>
      </c>
      <c r="D115" s="410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07"/>
      <c r="AB115"/>
    </row>
    <row r="116" spans="1:28" hidden="1">
      <c r="B116" s="43" t="s">
        <v>373</v>
      </c>
      <c r="C116" s="13">
        <v>30</v>
      </c>
      <c r="D116" s="410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07"/>
      <c r="AB116"/>
    </row>
    <row r="117" spans="1:28" hidden="1">
      <c r="B117" s="43" t="s">
        <v>374</v>
      </c>
      <c r="C117" s="13">
        <v>15</v>
      </c>
      <c r="D117" s="410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07"/>
      <c r="AB117"/>
    </row>
    <row r="118" spans="1:28" hidden="1">
      <c r="B118" s="43" t="s">
        <v>375</v>
      </c>
      <c r="C118" s="13">
        <v>100</v>
      </c>
      <c r="D118" s="410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07"/>
      <c r="AB118"/>
    </row>
    <row r="119" spans="1:28" hidden="1">
      <c r="B119" s="43" t="s">
        <v>376</v>
      </c>
      <c r="C119" s="13">
        <v>30</v>
      </c>
      <c r="D119" s="410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07"/>
      <c r="AB119"/>
    </row>
    <row r="120" spans="1:28" hidden="1">
      <c r="B120" s="43" t="s">
        <v>20</v>
      </c>
      <c r="C120" s="411">
        <f>SUM(C103:C119)</f>
        <v>1485</v>
      </c>
      <c r="D120" s="46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07"/>
      <c r="AB120"/>
    </row>
    <row r="121" spans="1:28" ht="17.25" customHeight="1">
      <c r="B121" s="4"/>
      <c r="C121" s="5"/>
      <c r="D121" s="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395"/>
      <c r="AB121"/>
    </row>
    <row r="122" spans="1:28" ht="17.25" customHeight="1">
      <c r="B122" s="4"/>
      <c r="C122" s="5"/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395"/>
      <c r="AB122"/>
    </row>
    <row r="123" spans="1:28" ht="38.25" customHeight="1">
      <c r="A123" s="75" t="s">
        <v>313</v>
      </c>
      <c r="B123" s="8" t="s">
        <v>377</v>
      </c>
      <c r="C123" s="507" t="s">
        <v>524</v>
      </c>
      <c r="D123" s="508" t="s">
        <v>315</v>
      </c>
      <c r="E123" s="393" t="s">
        <v>523</v>
      </c>
      <c r="F123" s="393" t="s">
        <v>525</v>
      </c>
      <c r="G123" s="460" t="s">
        <v>534</v>
      </c>
      <c r="H123" s="393" t="s">
        <v>526</v>
      </c>
      <c r="I123" s="460" t="s">
        <v>535</v>
      </c>
      <c r="J123" s="393" t="s">
        <v>527</v>
      </c>
      <c r="K123" s="460" t="s">
        <v>536</v>
      </c>
      <c r="L123" s="393" t="s">
        <v>528</v>
      </c>
      <c r="M123" s="460" t="s">
        <v>537</v>
      </c>
      <c r="N123" s="393" t="s">
        <v>529</v>
      </c>
      <c r="O123" s="460" t="s">
        <v>538</v>
      </c>
      <c r="P123" s="393" t="s">
        <v>530</v>
      </c>
      <c r="Q123" s="460" t="s">
        <v>539</v>
      </c>
      <c r="R123" s="393" t="s">
        <v>531</v>
      </c>
      <c r="S123" s="460" t="s">
        <v>540</v>
      </c>
      <c r="T123" s="393" t="s">
        <v>532</v>
      </c>
      <c r="U123" s="460" t="s">
        <v>541</v>
      </c>
      <c r="V123" s="393" t="s">
        <v>533</v>
      </c>
      <c r="W123" s="460" t="s">
        <v>542</v>
      </c>
      <c r="X123" s="10"/>
      <c r="Y123" s="393" t="s">
        <v>543</v>
      </c>
      <c r="Z123" s="10" t="s">
        <v>309</v>
      </c>
      <c r="AA123" s="396" t="s">
        <v>7</v>
      </c>
      <c r="AB123"/>
    </row>
    <row r="124" spans="1:28" ht="25.5">
      <c r="A124" s="75" t="s">
        <v>378</v>
      </c>
      <c r="B124" s="399" t="s">
        <v>360</v>
      </c>
      <c r="C124" s="402"/>
      <c r="D124" s="403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5"/>
      <c r="AA124" s="405"/>
      <c r="AB124"/>
    </row>
    <row r="125" spans="1:28">
      <c r="B125" s="47" t="s">
        <v>17</v>
      </c>
      <c r="C125" s="13">
        <v>300</v>
      </c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  <c r="AA125" s="15"/>
      <c r="AB125"/>
    </row>
    <row r="126" spans="1:28" ht="12.75" customHeight="1">
      <c r="B126" s="47" t="s">
        <v>18</v>
      </c>
      <c r="C126" s="13">
        <f>C148</f>
        <v>3900</v>
      </c>
      <c r="D126" s="23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5"/>
      <c r="AB126"/>
    </row>
    <row r="127" spans="1:28">
      <c r="B127" s="47" t="s">
        <v>379</v>
      </c>
      <c r="C127" s="13">
        <v>10</v>
      </c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15"/>
      <c r="AB127"/>
    </row>
    <row r="128" spans="1:28">
      <c r="B128" s="18" t="s">
        <v>10</v>
      </c>
      <c r="C128" s="19">
        <f>SUM(C125:C127)</f>
        <v>4210</v>
      </c>
      <c r="D128" s="76">
        <v>4210</v>
      </c>
      <c r="E128" s="76">
        <v>1320</v>
      </c>
      <c r="F128" s="76">
        <v>1590</v>
      </c>
      <c r="G128" s="76">
        <f>F128-E128</f>
        <v>270</v>
      </c>
      <c r="H128" s="76">
        <v>1850</v>
      </c>
      <c r="I128" s="76">
        <f>H128-F128</f>
        <v>260</v>
      </c>
      <c r="J128" s="76">
        <v>2580</v>
      </c>
      <c r="K128" s="76">
        <f>J128-H128</f>
        <v>730</v>
      </c>
      <c r="L128" s="76">
        <v>2720</v>
      </c>
      <c r="M128" s="76">
        <f>L128-J128</f>
        <v>140</v>
      </c>
      <c r="N128" s="76">
        <v>2820</v>
      </c>
      <c r="O128" s="76">
        <f>N128-L128</f>
        <v>100</v>
      </c>
      <c r="P128" s="76">
        <v>3070</v>
      </c>
      <c r="Q128" s="76">
        <f>P128-N128</f>
        <v>250</v>
      </c>
      <c r="R128" s="76">
        <v>3390</v>
      </c>
      <c r="S128" s="76">
        <f>R128-P128</f>
        <v>320</v>
      </c>
      <c r="T128" s="76"/>
      <c r="U128" s="76"/>
      <c r="V128" s="76"/>
      <c r="W128" s="76"/>
      <c r="X128" s="76"/>
      <c r="Y128" s="76">
        <f>E128+G128+I128+K128+M128+O128+Q128+S128+U128+W128</f>
        <v>3390</v>
      </c>
      <c r="Z128" s="18">
        <f>(Y128/C128)*100</f>
        <v>80.52256532066508</v>
      </c>
      <c r="AA128" s="18">
        <f>(Y128/D128)*100</f>
        <v>80.52256532066508</v>
      </c>
      <c r="AB128"/>
    </row>
    <row r="129" spans="2:28" hidden="1">
      <c r="B129" s="41"/>
      <c r="C129" s="42"/>
      <c r="D129" s="42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07"/>
      <c r="AB129"/>
    </row>
    <row r="130" spans="2:28" hidden="1">
      <c r="B130" s="412" t="s">
        <v>380</v>
      </c>
      <c r="C130" s="13"/>
      <c r="D130" s="410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07"/>
      <c r="AB130"/>
    </row>
    <row r="131" spans="2:28" hidden="1">
      <c r="B131" s="47" t="s">
        <v>13</v>
      </c>
      <c r="C131" s="13">
        <v>650</v>
      </c>
      <c r="D131" s="410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07"/>
      <c r="AB131"/>
    </row>
    <row r="132" spans="2:28" hidden="1">
      <c r="B132" s="47" t="s">
        <v>19</v>
      </c>
      <c r="C132" s="13">
        <v>1830</v>
      </c>
      <c r="D132" s="410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07"/>
      <c r="AB132"/>
    </row>
    <row r="133" spans="2:28" hidden="1">
      <c r="B133" s="47" t="s">
        <v>362</v>
      </c>
      <c r="C133" s="13">
        <v>180</v>
      </c>
      <c r="D133" s="410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07"/>
      <c r="AB133"/>
    </row>
    <row r="134" spans="2:28" hidden="1">
      <c r="B134" s="47" t="s">
        <v>381</v>
      </c>
      <c r="C134" s="13">
        <v>57</v>
      </c>
      <c r="D134" s="410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07"/>
      <c r="AB134"/>
    </row>
    <row r="135" spans="2:28" hidden="1">
      <c r="B135" s="47" t="s">
        <v>382</v>
      </c>
      <c r="C135" s="13">
        <v>48</v>
      </c>
      <c r="D135" s="410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07"/>
      <c r="AB135"/>
    </row>
    <row r="136" spans="2:28" hidden="1">
      <c r="B136" s="47" t="s">
        <v>368</v>
      </c>
      <c r="C136" s="13">
        <v>72</v>
      </c>
      <c r="D136" s="410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07"/>
      <c r="AB136"/>
    </row>
    <row r="137" spans="2:28" hidden="1">
      <c r="B137" s="47" t="s">
        <v>383</v>
      </c>
      <c r="C137" s="31">
        <v>140</v>
      </c>
      <c r="D137" s="3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95"/>
      <c r="AB137"/>
    </row>
    <row r="138" spans="2:28" hidden="1">
      <c r="B138" s="47" t="s">
        <v>384</v>
      </c>
      <c r="C138" s="31">
        <v>72</v>
      </c>
      <c r="D138" s="3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95"/>
      <c r="AB138"/>
    </row>
    <row r="139" spans="2:28" hidden="1">
      <c r="B139" s="47" t="s">
        <v>385</v>
      </c>
      <c r="C139" s="31">
        <v>130</v>
      </c>
      <c r="D139" s="3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95"/>
      <c r="AB139"/>
    </row>
    <row r="140" spans="2:28" hidden="1">
      <c r="B140" s="47" t="s">
        <v>386</v>
      </c>
      <c r="C140" s="31">
        <v>82</v>
      </c>
      <c r="D140" s="3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95"/>
      <c r="AB140"/>
    </row>
    <row r="141" spans="2:28" hidden="1">
      <c r="B141" s="47" t="s">
        <v>387</v>
      </c>
      <c r="C141" s="31">
        <v>30</v>
      </c>
      <c r="D141" s="3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95"/>
      <c r="AB141"/>
    </row>
    <row r="142" spans="2:28" hidden="1">
      <c r="B142" s="47" t="s">
        <v>388</v>
      </c>
      <c r="C142" s="31">
        <v>170</v>
      </c>
      <c r="D142" s="3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95"/>
      <c r="AB142"/>
    </row>
    <row r="143" spans="2:28" hidden="1">
      <c r="B143" s="47" t="s">
        <v>389</v>
      </c>
      <c r="C143" s="31">
        <v>105</v>
      </c>
      <c r="D143" s="3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95"/>
      <c r="AB143"/>
    </row>
    <row r="144" spans="2:28" hidden="1">
      <c r="B144" s="470" t="s">
        <v>547</v>
      </c>
      <c r="C144" s="31">
        <v>90</v>
      </c>
      <c r="D144" s="3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95"/>
      <c r="AB144"/>
    </row>
    <row r="145" spans="1:32" hidden="1">
      <c r="B145" s="470" t="s">
        <v>548</v>
      </c>
      <c r="C145" s="31">
        <v>100</v>
      </c>
      <c r="D145" s="3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95"/>
      <c r="AB145"/>
    </row>
    <row r="146" spans="1:32" hidden="1">
      <c r="B146" s="47" t="s">
        <v>390</v>
      </c>
      <c r="C146" s="31">
        <v>68</v>
      </c>
      <c r="D146" s="3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95"/>
      <c r="AB146"/>
    </row>
    <row r="147" spans="1:32" hidden="1">
      <c r="B147" s="470" t="s">
        <v>549</v>
      </c>
      <c r="C147" s="31">
        <v>76</v>
      </c>
      <c r="D147" s="3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95"/>
      <c r="AB147"/>
    </row>
    <row r="148" spans="1:32" hidden="1">
      <c r="B148" s="47" t="s">
        <v>20</v>
      </c>
      <c r="C148" s="411">
        <f>SUM(C131:C147)</f>
        <v>3900</v>
      </c>
      <c r="D148" s="4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95"/>
      <c r="AB148"/>
    </row>
    <row r="149" spans="1:32" ht="17.25" customHeight="1">
      <c r="B149" s="4"/>
      <c r="C149" s="5"/>
      <c r="D149" s="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95"/>
      <c r="AB149"/>
    </row>
    <row r="150" spans="1:32" ht="17.25" customHeight="1">
      <c r="B150" s="4"/>
      <c r="C150" s="5"/>
      <c r="D150" s="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95"/>
      <c r="AB150"/>
    </row>
    <row r="151" spans="1:32" ht="43.5" customHeight="1">
      <c r="A151" s="75" t="s">
        <v>313</v>
      </c>
      <c r="B151" s="490" t="s">
        <v>562</v>
      </c>
      <c r="C151" s="507" t="s">
        <v>524</v>
      </c>
      <c r="D151" s="508" t="s">
        <v>315</v>
      </c>
      <c r="E151" s="393" t="s">
        <v>523</v>
      </c>
      <c r="F151" s="393" t="s">
        <v>525</v>
      </c>
      <c r="G151" s="460" t="s">
        <v>534</v>
      </c>
      <c r="H151" s="393" t="s">
        <v>526</v>
      </c>
      <c r="I151" s="460" t="s">
        <v>535</v>
      </c>
      <c r="J151" s="393" t="s">
        <v>527</v>
      </c>
      <c r="K151" s="460" t="s">
        <v>536</v>
      </c>
      <c r="L151" s="393" t="s">
        <v>528</v>
      </c>
      <c r="M151" s="460" t="s">
        <v>537</v>
      </c>
      <c r="N151" s="393" t="s">
        <v>529</v>
      </c>
      <c r="O151" s="460" t="s">
        <v>538</v>
      </c>
      <c r="P151" s="393" t="s">
        <v>530</v>
      </c>
      <c r="Q151" s="460" t="s">
        <v>539</v>
      </c>
      <c r="R151" s="393" t="s">
        <v>531</v>
      </c>
      <c r="S151" s="460" t="s">
        <v>540</v>
      </c>
      <c r="T151" s="393" t="s">
        <v>532</v>
      </c>
      <c r="U151" s="460" t="s">
        <v>541</v>
      </c>
      <c r="V151" s="393" t="s">
        <v>533</v>
      </c>
      <c r="W151" s="460" t="s">
        <v>542</v>
      </c>
      <c r="X151" s="10"/>
      <c r="Y151" s="393" t="s">
        <v>543</v>
      </c>
      <c r="Z151" s="492"/>
      <c r="AA151" s="493"/>
      <c r="AB151"/>
      <c r="AC151" s="495"/>
      <c r="AE151" s="496"/>
      <c r="AF151" s="497"/>
    </row>
    <row r="152" spans="1:32" ht="49.5" customHeight="1">
      <c r="A152" s="2" t="s">
        <v>603</v>
      </c>
      <c r="B152" s="491" t="s">
        <v>567</v>
      </c>
      <c r="C152" s="23">
        <v>6000</v>
      </c>
      <c r="D152" s="23">
        <v>2870</v>
      </c>
      <c r="E152" s="34">
        <v>41.394100000000002</v>
      </c>
      <c r="F152" s="34">
        <v>80.268199999999993</v>
      </c>
      <c r="G152" s="34">
        <f>F152-E152</f>
        <v>38.874099999999991</v>
      </c>
      <c r="H152" s="34">
        <v>80.268199999999993</v>
      </c>
      <c r="I152" s="34">
        <f>H152-F152</f>
        <v>0</v>
      </c>
      <c r="J152" s="34">
        <v>80.268199999999993</v>
      </c>
      <c r="K152" s="25">
        <f>J152-H152</f>
        <v>0</v>
      </c>
      <c r="L152" s="34">
        <v>80.268199999999993</v>
      </c>
      <c r="M152" s="34">
        <f>L152-J152</f>
        <v>0</v>
      </c>
      <c r="N152" s="34">
        <v>80.522300000000001</v>
      </c>
      <c r="O152" s="34">
        <f>N152-L152</f>
        <v>0.25410000000000821</v>
      </c>
      <c r="P152" s="34">
        <v>133.76230000000001</v>
      </c>
      <c r="Q152" s="25">
        <f>P152-N152</f>
        <v>53.240000000000009</v>
      </c>
      <c r="R152" s="34">
        <v>133.76230000000001</v>
      </c>
      <c r="S152" s="34">
        <f>R152-P152</f>
        <v>0</v>
      </c>
      <c r="T152" s="34"/>
      <c r="U152" s="34"/>
      <c r="V152" s="34"/>
      <c r="W152" s="34"/>
      <c r="X152" s="34"/>
      <c r="Y152" s="25">
        <f>E152+G152+I152+K152+M152+O152+Q152+S152+U152+W152</f>
        <v>133.76230000000001</v>
      </c>
      <c r="Z152" s="494"/>
      <c r="AA152" s="494"/>
      <c r="AB152"/>
      <c r="AC152" s="501" t="s">
        <v>568</v>
      </c>
      <c r="AE152" s="497"/>
      <c r="AF152" s="497"/>
    </row>
    <row r="153" spans="1:32" ht="14.25" customHeight="1">
      <c r="B153" s="41" t="s">
        <v>10</v>
      </c>
      <c r="C153" s="42">
        <f>C152</f>
        <v>6000</v>
      </c>
      <c r="D153" s="42">
        <f>D152</f>
        <v>2870</v>
      </c>
      <c r="E153" s="417">
        <f>SUM(E152)</f>
        <v>41.394100000000002</v>
      </c>
      <c r="F153" s="417">
        <f t="shared" ref="F153:W153" si="32">SUM(F152)</f>
        <v>80.268199999999993</v>
      </c>
      <c r="G153" s="417">
        <f t="shared" si="32"/>
        <v>38.874099999999991</v>
      </c>
      <c r="H153" s="417">
        <f t="shared" si="32"/>
        <v>80.268199999999993</v>
      </c>
      <c r="I153" s="417">
        <f t="shared" si="32"/>
        <v>0</v>
      </c>
      <c r="J153" s="417">
        <f t="shared" si="32"/>
        <v>80.268199999999993</v>
      </c>
      <c r="K153" s="417">
        <f t="shared" si="32"/>
        <v>0</v>
      </c>
      <c r="L153" s="417">
        <f t="shared" si="32"/>
        <v>80.268199999999993</v>
      </c>
      <c r="M153" s="417">
        <f t="shared" si="32"/>
        <v>0</v>
      </c>
      <c r="N153" s="417">
        <f t="shared" si="32"/>
        <v>80.522300000000001</v>
      </c>
      <c r="O153" s="417">
        <f t="shared" si="32"/>
        <v>0.25410000000000821</v>
      </c>
      <c r="P153" s="417">
        <f t="shared" si="32"/>
        <v>133.76230000000001</v>
      </c>
      <c r="Q153" s="417">
        <f t="shared" si="32"/>
        <v>53.240000000000009</v>
      </c>
      <c r="R153" s="417">
        <f t="shared" si="32"/>
        <v>133.76230000000001</v>
      </c>
      <c r="S153" s="417">
        <f t="shared" si="32"/>
        <v>0</v>
      </c>
      <c r="T153" s="417">
        <f t="shared" si="32"/>
        <v>0</v>
      </c>
      <c r="U153" s="417">
        <f t="shared" si="32"/>
        <v>0</v>
      </c>
      <c r="V153" s="417">
        <f t="shared" si="32"/>
        <v>0</v>
      </c>
      <c r="W153" s="417">
        <f t="shared" si="32"/>
        <v>0</v>
      </c>
      <c r="X153" s="417"/>
      <c r="Y153" s="417">
        <f>SUM(Y152)</f>
        <v>133.76230000000001</v>
      </c>
      <c r="Z153" s="41"/>
      <c r="AA153" s="41"/>
      <c r="AB153"/>
      <c r="AC153" s="499">
        <f>Y153+Y128</f>
        <v>3523.7622999999999</v>
      </c>
      <c r="AE153" s="417"/>
      <c r="AF153" s="417"/>
    </row>
    <row r="154" spans="1:32" ht="17.25" customHeight="1">
      <c r="B154" s="4"/>
      <c r="C154" s="5"/>
      <c r="D154" s="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95"/>
      <c r="AB154"/>
    </row>
    <row r="155" spans="1:32" ht="17.25" customHeight="1">
      <c r="B155" s="564" t="s">
        <v>644</v>
      </c>
      <c r="C155" s="565">
        <f>C128+C153</f>
        <v>10210</v>
      </c>
      <c r="D155" s="565">
        <f>D128+D153</f>
        <v>7080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95"/>
      <c r="AB155"/>
      <c r="AC155" s="560"/>
    </row>
    <row r="156" spans="1:32" ht="17.25" customHeight="1">
      <c r="B156" s="4"/>
      <c r="C156" s="5"/>
      <c r="D156" s="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95"/>
      <c r="AB156"/>
    </row>
    <row r="157" spans="1:32" ht="42" customHeight="1">
      <c r="A157" s="75" t="s">
        <v>313</v>
      </c>
      <c r="B157" s="8" t="s">
        <v>391</v>
      </c>
      <c r="C157" s="507" t="s">
        <v>524</v>
      </c>
      <c r="D157" s="508" t="s">
        <v>315</v>
      </c>
      <c r="E157" s="393" t="s">
        <v>523</v>
      </c>
      <c r="F157" s="393" t="s">
        <v>525</v>
      </c>
      <c r="G157" s="460" t="s">
        <v>534</v>
      </c>
      <c r="H157" s="393" t="s">
        <v>526</v>
      </c>
      <c r="I157" s="460" t="s">
        <v>535</v>
      </c>
      <c r="J157" s="393" t="s">
        <v>527</v>
      </c>
      <c r="K157" s="460" t="s">
        <v>536</v>
      </c>
      <c r="L157" s="393" t="s">
        <v>528</v>
      </c>
      <c r="M157" s="460" t="s">
        <v>537</v>
      </c>
      <c r="N157" s="393" t="s">
        <v>529</v>
      </c>
      <c r="O157" s="460" t="s">
        <v>538</v>
      </c>
      <c r="P157" s="393" t="s">
        <v>530</v>
      </c>
      <c r="Q157" s="460" t="s">
        <v>539</v>
      </c>
      <c r="R157" s="393" t="s">
        <v>531</v>
      </c>
      <c r="S157" s="460" t="s">
        <v>540</v>
      </c>
      <c r="T157" s="393" t="s">
        <v>532</v>
      </c>
      <c r="U157" s="460" t="s">
        <v>541</v>
      </c>
      <c r="V157" s="393" t="s">
        <v>533</v>
      </c>
      <c r="W157" s="460" t="s">
        <v>542</v>
      </c>
      <c r="X157" s="10"/>
      <c r="Y157" s="393" t="s">
        <v>543</v>
      </c>
      <c r="Z157" s="10" t="s">
        <v>309</v>
      </c>
      <c r="AA157" s="396" t="s">
        <v>7</v>
      </c>
      <c r="AB157"/>
    </row>
    <row r="158" spans="1:32" ht="25.5">
      <c r="A158" s="75" t="s">
        <v>392</v>
      </c>
      <c r="B158" s="399" t="s">
        <v>360</v>
      </c>
      <c r="C158" s="402"/>
      <c r="D158" s="403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5"/>
      <c r="AA158" s="405"/>
      <c r="AB158"/>
    </row>
    <row r="159" spans="1:32">
      <c r="B159" s="47" t="s">
        <v>17</v>
      </c>
      <c r="C159" s="31">
        <v>21</v>
      </c>
      <c r="D159" s="2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5"/>
      <c r="AA159" s="35"/>
      <c r="AB159"/>
    </row>
    <row r="160" spans="1:32">
      <c r="B160" s="47" t="s">
        <v>18</v>
      </c>
      <c r="C160" s="31">
        <f>C183</f>
        <v>234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  <c r="AA160" s="15"/>
      <c r="AB160"/>
    </row>
    <row r="161" spans="2:28">
      <c r="B161" s="18" t="s">
        <v>10</v>
      </c>
      <c r="C161" s="19">
        <f>SUM(C159:C160)</f>
        <v>255</v>
      </c>
      <c r="D161" s="76">
        <v>255</v>
      </c>
      <c r="E161" s="76">
        <v>42</v>
      </c>
      <c r="F161" s="76">
        <v>63</v>
      </c>
      <c r="G161" s="76">
        <f>F161-E161</f>
        <v>21</v>
      </c>
      <c r="H161" s="76">
        <v>84</v>
      </c>
      <c r="I161" s="76">
        <f>H161-F161</f>
        <v>21</v>
      </c>
      <c r="J161" s="76">
        <v>126</v>
      </c>
      <c r="K161" s="76">
        <f>J161-H161</f>
        <v>42</v>
      </c>
      <c r="L161" s="76">
        <v>147</v>
      </c>
      <c r="M161" s="76">
        <f>L161-J161</f>
        <v>21</v>
      </c>
      <c r="N161" s="76">
        <v>168</v>
      </c>
      <c r="O161" s="76">
        <f>N161-L161</f>
        <v>21</v>
      </c>
      <c r="P161" s="76">
        <v>189</v>
      </c>
      <c r="Q161" s="76">
        <f>P161-N161</f>
        <v>21</v>
      </c>
      <c r="R161" s="76">
        <v>210</v>
      </c>
      <c r="S161" s="76">
        <f>R161-P161</f>
        <v>21</v>
      </c>
      <c r="T161" s="76"/>
      <c r="U161" s="76"/>
      <c r="V161" s="76"/>
      <c r="W161" s="76"/>
      <c r="X161" s="76"/>
      <c r="Y161" s="76">
        <f>E161+G161+I161+K161+M161+O161+Q161+S161+U161+W161</f>
        <v>210</v>
      </c>
      <c r="Z161" s="18">
        <f>(Y161/C161)*100</f>
        <v>82.35294117647058</v>
      </c>
      <c r="AA161" s="18">
        <f>(Y161/D161)*100</f>
        <v>82.35294117647058</v>
      </c>
      <c r="AB161"/>
    </row>
    <row r="162" spans="2:28" hidden="1">
      <c r="B162" s="41"/>
      <c r="C162" s="42"/>
      <c r="D162" s="4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395"/>
      <c r="AB162"/>
    </row>
    <row r="163" spans="2:28" hidden="1">
      <c r="B163" s="412" t="s">
        <v>361</v>
      </c>
      <c r="C163" s="31"/>
      <c r="D163" s="3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395"/>
      <c r="AB163"/>
    </row>
    <row r="164" spans="2:28" hidden="1">
      <c r="B164" s="47" t="s">
        <v>393</v>
      </c>
      <c r="C164" s="31">
        <v>330</v>
      </c>
      <c r="D164" s="3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395"/>
      <c r="AB164"/>
    </row>
    <row r="165" spans="2:28" hidden="1">
      <c r="B165" s="47" t="s">
        <v>21</v>
      </c>
      <c r="C165" s="31">
        <v>26</v>
      </c>
      <c r="D165" s="3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395"/>
      <c r="AB165"/>
    </row>
    <row r="166" spans="2:28" hidden="1">
      <c r="B166" s="47" t="s">
        <v>382</v>
      </c>
      <c r="C166" s="31">
        <v>14</v>
      </c>
      <c r="D166" s="3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395"/>
      <c r="AB166"/>
    </row>
    <row r="167" spans="2:28" hidden="1">
      <c r="B167" s="47" t="s">
        <v>12</v>
      </c>
      <c r="C167" s="31"/>
      <c r="D167" s="3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395"/>
      <c r="AB167"/>
    </row>
    <row r="168" spans="2:28" hidden="1">
      <c r="B168" s="47" t="s">
        <v>394</v>
      </c>
      <c r="C168" s="31">
        <v>16</v>
      </c>
      <c r="D168" s="3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395"/>
      <c r="AB168"/>
    </row>
    <row r="169" spans="2:28" hidden="1">
      <c r="B169" s="47" t="s">
        <v>9</v>
      </c>
      <c r="C169" s="31">
        <v>16</v>
      </c>
      <c r="D169" s="3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395"/>
      <c r="AB169"/>
    </row>
    <row r="170" spans="2:28" hidden="1">
      <c r="B170" s="47" t="s">
        <v>376</v>
      </c>
      <c r="C170" s="31">
        <v>17</v>
      </c>
      <c r="D170" s="3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395"/>
      <c r="AB170"/>
    </row>
    <row r="171" spans="2:28" hidden="1">
      <c r="B171" s="47" t="s">
        <v>395</v>
      </c>
      <c r="C171" s="31">
        <v>11</v>
      </c>
      <c r="D171" s="3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395"/>
      <c r="AB171"/>
    </row>
    <row r="172" spans="2:28" hidden="1">
      <c r="B172" s="47" t="s">
        <v>396</v>
      </c>
      <c r="C172" s="31">
        <v>28</v>
      </c>
      <c r="D172" s="3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395"/>
      <c r="AB172"/>
    </row>
    <row r="173" spans="2:28" hidden="1">
      <c r="B173" s="47" t="s">
        <v>397</v>
      </c>
      <c r="C173" s="31">
        <v>22</v>
      </c>
      <c r="D173" s="3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395"/>
      <c r="AB173"/>
    </row>
    <row r="174" spans="2:28" hidden="1">
      <c r="B174" s="47" t="s">
        <v>398</v>
      </c>
      <c r="C174" s="31">
        <v>54</v>
      </c>
      <c r="D174" s="3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395"/>
      <c r="AB174"/>
    </row>
    <row r="175" spans="2:28" hidden="1">
      <c r="B175" s="47" t="s">
        <v>399</v>
      </c>
      <c r="C175" s="31">
        <v>15</v>
      </c>
      <c r="D175" s="3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395"/>
      <c r="AB175"/>
    </row>
    <row r="176" spans="2:28" hidden="1">
      <c r="B176" s="47" t="s">
        <v>400</v>
      </c>
      <c r="C176" s="31">
        <v>35</v>
      </c>
      <c r="D176" s="3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395"/>
      <c r="AB176"/>
    </row>
    <row r="177" spans="1:31" hidden="1">
      <c r="B177" s="47" t="s">
        <v>401</v>
      </c>
      <c r="C177" s="31">
        <v>50</v>
      </c>
      <c r="D177" s="3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395"/>
      <c r="AB177"/>
    </row>
    <row r="178" spans="1:31" hidden="1">
      <c r="B178" s="47" t="s">
        <v>402</v>
      </c>
      <c r="C178" s="31">
        <v>85</v>
      </c>
      <c r="D178" s="3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395"/>
      <c r="AB178"/>
    </row>
    <row r="179" spans="1:31" hidden="1">
      <c r="B179" s="47" t="s">
        <v>403</v>
      </c>
      <c r="C179" s="31">
        <v>11</v>
      </c>
      <c r="D179" s="3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395"/>
      <c r="AB179"/>
    </row>
    <row r="180" spans="1:31" hidden="1">
      <c r="B180" s="47" t="s">
        <v>404</v>
      </c>
      <c r="C180" s="31">
        <v>4</v>
      </c>
      <c r="D180" s="3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395"/>
      <c r="AB180"/>
    </row>
    <row r="181" spans="1:31" hidden="1">
      <c r="B181" s="47" t="s">
        <v>405</v>
      </c>
      <c r="C181" s="411">
        <f>SUM(C164:C180)</f>
        <v>734</v>
      </c>
      <c r="D181" s="4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395"/>
      <c r="AB181"/>
    </row>
    <row r="182" spans="1:31" hidden="1">
      <c r="B182" s="47" t="s">
        <v>406</v>
      </c>
      <c r="C182" s="31">
        <v>500</v>
      </c>
      <c r="D182" s="3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395"/>
      <c r="AB182"/>
    </row>
    <row r="183" spans="1:31" hidden="1">
      <c r="B183" s="47" t="s">
        <v>407</v>
      </c>
      <c r="C183" s="411">
        <f>C181-C182</f>
        <v>234</v>
      </c>
      <c r="D183" s="4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395"/>
      <c r="AB183"/>
    </row>
    <row r="184" spans="1:31" ht="17.25" customHeight="1">
      <c r="B184" s="4"/>
      <c r="C184" s="5"/>
      <c r="D184" s="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395"/>
      <c r="AB184"/>
    </row>
    <row r="185" spans="1:31" ht="17.25" customHeight="1">
      <c r="B185" s="4"/>
      <c r="C185" s="5"/>
      <c r="D185" s="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395"/>
      <c r="AB185"/>
    </row>
    <row r="186" spans="1:31" ht="39" customHeight="1">
      <c r="A186" s="75" t="s">
        <v>313</v>
      </c>
      <c r="B186" s="8" t="s">
        <v>408</v>
      </c>
      <c r="C186" s="507" t="s">
        <v>524</v>
      </c>
      <c r="D186" s="508" t="s">
        <v>315</v>
      </c>
      <c r="E186" s="393" t="s">
        <v>523</v>
      </c>
      <c r="F186" s="393" t="s">
        <v>525</v>
      </c>
      <c r="G186" s="460" t="s">
        <v>534</v>
      </c>
      <c r="H186" s="393" t="s">
        <v>526</v>
      </c>
      <c r="I186" s="460" t="s">
        <v>535</v>
      </c>
      <c r="J186" s="393" t="s">
        <v>527</v>
      </c>
      <c r="K186" s="460" t="s">
        <v>536</v>
      </c>
      <c r="L186" s="393" t="s">
        <v>528</v>
      </c>
      <c r="M186" s="460" t="s">
        <v>537</v>
      </c>
      <c r="N186" s="393" t="s">
        <v>529</v>
      </c>
      <c r="O186" s="460" t="s">
        <v>538</v>
      </c>
      <c r="P186" s="393" t="s">
        <v>530</v>
      </c>
      <c r="Q186" s="460" t="s">
        <v>539</v>
      </c>
      <c r="R186" s="393" t="s">
        <v>531</v>
      </c>
      <c r="S186" s="460" t="s">
        <v>540</v>
      </c>
      <c r="T186" s="393" t="s">
        <v>532</v>
      </c>
      <c r="U186" s="460" t="s">
        <v>541</v>
      </c>
      <c r="V186" s="393" t="s">
        <v>533</v>
      </c>
      <c r="W186" s="460" t="s">
        <v>542</v>
      </c>
      <c r="X186" s="10"/>
      <c r="Y186" s="393" t="s">
        <v>543</v>
      </c>
      <c r="Z186" s="10" t="s">
        <v>309</v>
      </c>
      <c r="AA186" s="396" t="s">
        <v>7</v>
      </c>
      <c r="AB186"/>
    </row>
    <row r="187" spans="1:31">
      <c r="A187" s="75" t="s">
        <v>409</v>
      </c>
      <c r="B187" s="11" t="s">
        <v>410</v>
      </c>
      <c r="C187" s="31">
        <v>300</v>
      </c>
      <c r="D187" s="13">
        <v>572.08000000000004</v>
      </c>
      <c r="E187" s="14">
        <v>138.11199999999999</v>
      </c>
      <c r="F187" s="14">
        <v>184.86</v>
      </c>
      <c r="G187" s="14">
        <f>F187-E187</f>
        <v>46.748000000000019</v>
      </c>
      <c r="H187" s="14">
        <v>240.69300000000001</v>
      </c>
      <c r="I187" s="14">
        <f>H187-F187</f>
        <v>55.832999999999998</v>
      </c>
      <c r="J187" s="14">
        <v>277.94900000000001</v>
      </c>
      <c r="K187" s="25">
        <f t="shared" ref="K187:K207" si="33">J187-H187</f>
        <v>37.256</v>
      </c>
      <c r="L187" s="14">
        <v>324.447</v>
      </c>
      <c r="M187" s="34">
        <f t="shared" ref="M187:M207" si="34">L187-J187</f>
        <v>46.49799999999999</v>
      </c>
      <c r="N187" s="14">
        <v>363.21899999999999</v>
      </c>
      <c r="O187" s="34">
        <f t="shared" ref="O187:O207" si="35">N187-L187</f>
        <v>38.771999999999991</v>
      </c>
      <c r="P187" s="14">
        <v>405.21300000000002</v>
      </c>
      <c r="Q187" s="25">
        <f t="shared" ref="Q187:Q207" si="36">P187-N187</f>
        <v>41.994000000000028</v>
      </c>
      <c r="R187" s="14">
        <v>455.21699999999998</v>
      </c>
      <c r="S187" s="34">
        <f t="shared" ref="S187:S207" si="37">R187-P187</f>
        <v>50.003999999999962</v>
      </c>
      <c r="T187" s="14"/>
      <c r="U187" s="14"/>
      <c r="V187" s="14"/>
      <c r="W187" s="14"/>
      <c r="X187" s="14"/>
      <c r="Y187" s="25">
        <f t="shared" ref="Y187:Y207" si="38">E187+G187+I187+K187+M187+O187+Q187+S187+U187+W187</f>
        <v>455.21699999999998</v>
      </c>
      <c r="Z187" s="26">
        <f t="shared" ref="Z187:Z207" si="39">(Y187/C187)*100</f>
        <v>151.739</v>
      </c>
      <c r="AA187" s="26">
        <f t="shared" ref="AA187:AA207" si="40">(Y187/D187)*100</f>
        <v>79.572262620612491</v>
      </c>
      <c r="AB187"/>
      <c r="AC187" s="572"/>
      <c r="AE187" s="84"/>
    </row>
    <row r="188" spans="1:31">
      <c r="B188" s="11" t="s">
        <v>326</v>
      </c>
      <c r="C188" s="31">
        <v>100</v>
      </c>
      <c r="D188" s="13">
        <v>185.7</v>
      </c>
      <c r="E188" s="14">
        <v>40.073</v>
      </c>
      <c r="F188" s="14">
        <v>56.92</v>
      </c>
      <c r="G188" s="14">
        <f t="shared" ref="G188:G207" si="41">F188-E188</f>
        <v>16.847000000000001</v>
      </c>
      <c r="H188" s="14">
        <v>71.287999999999997</v>
      </c>
      <c r="I188" s="14">
        <f t="shared" ref="I188:I207" si="42">H188-F188</f>
        <v>14.367999999999995</v>
      </c>
      <c r="J188" s="14">
        <v>84.787000000000006</v>
      </c>
      <c r="K188" s="25">
        <f t="shared" si="33"/>
        <v>13.499000000000009</v>
      </c>
      <c r="L188" s="14">
        <v>101.56699999999999</v>
      </c>
      <c r="M188" s="34">
        <f t="shared" si="34"/>
        <v>16.779999999999987</v>
      </c>
      <c r="N188" s="14">
        <v>115.565</v>
      </c>
      <c r="O188" s="34">
        <f t="shared" si="35"/>
        <v>13.998000000000005</v>
      </c>
      <c r="P188" s="14">
        <v>130.607</v>
      </c>
      <c r="Q188" s="25">
        <f t="shared" si="36"/>
        <v>15.042000000000002</v>
      </c>
      <c r="R188" s="14">
        <v>148.636</v>
      </c>
      <c r="S188" s="34">
        <f t="shared" si="37"/>
        <v>18.028999999999996</v>
      </c>
      <c r="T188" s="14"/>
      <c r="U188" s="14"/>
      <c r="V188" s="14"/>
      <c r="W188" s="14"/>
      <c r="X188" s="14"/>
      <c r="Y188" s="25">
        <f t="shared" si="38"/>
        <v>148.636</v>
      </c>
      <c r="Z188" s="26">
        <f t="shared" si="39"/>
        <v>148.636</v>
      </c>
      <c r="AA188" s="26">
        <f t="shared" si="40"/>
        <v>80.040926225094239</v>
      </c>
      <c r="AB188"/>
      <c r="AC188" s="572"/>
      <c r="AE188" s="84"/>
    </row>
    <row r="189" spans="1:31">
      <c r="B189" s="11" t="s">
        <v>327</v>
      </c>
      <c r="C189" s="31">
        <v>40</v>
      </c>
      <c r="D189" s="31">
        <v>76.73</v>
      </c>
      <c r="E189" s="14">
        <v>20.044</v>
      </c>
      <c r="F189" s="14">
        <v>27.265000000000001</v>
      </c>
      <c r="G189" s="14">
        <f t="shared" si="41"/>
        <v>7.2210000000000001</v>
      </c>
      <c r="H189" s="14">
        <v>33.588000000000001</v>
      </c>
      <c r="I189" s="14">
        <f t="shared" si="42"/>
        <v>6.3230000000000004</v>
      </c>
      <c r="J189" s="14">
        <v>39.372999999999998</v>
      </c>
      <c r="K189" s="25">
        <f t="shared" si="33"/>
        <v>5.7849999999999966</v>
      </c>
      <c r="L189" s="14">
        <v>46.564999999999998</v>
      </c>
      <c r="M189" s="34">
        <f t="shared" si="34"/>
        <v>7.1920000000000002</v>
      </c>
      <c r="N189" s="14">
        <v>52.564999999999998</v>
      </c>
      <c r="O189" s="34">
        <f t="shared" si="35"/>
        <v>6</v>
      </c>
      <c r="P189" s="14">
        <v>59.014000000000003</v>
      </c>
      <c r="Q189" s="25">
        <f t="shared" si="36"/>
        <v>6.4490000000000052</v>
      </c>
      <c r="R189" s="14">
        <v>66.741</v>
      </c>
      <c r="S189" s="34">
        <f t="shared" si="37"/>
        <v>7.7269999999999968</v>
      </c>
      <c r="T189" s="14"/>
      <c r="U189" s="14"/>
      <c r="V189" s="14"/>
      <c r="W189" s="14"/>
      <c r="X189" s="14"/>
      <c r="Y189" s="25">
        <f t="shared" si="38"/>
        <v>66.741</v>
      </c>
      <c r="Z189" s="26">
        <f t="shared" si="39"/>
        <v>166.85249999999999</v>
      </c>
      <c r="AA189" s="26">
        <f t="shared" si="40"/>
        <v>86.981623875928577</v>
      </c>
      <c r="AB189"/>
      <c r="AC189" s="572"/>
      <c r="AE189" s="84"/>
    </row>
    <row r="190" spans="1:31">
      <c r="B190" s="11" t="s">
        <v>328</v>
      </c>
      <c r="C190" s="31">
        <v>3</v>
      </c>
      <c r="D190" s="31">
        <v>3</v>
      </c>
      <c r="E190" s="14">
        <v>0.60399999999999998</v>
      </c>
      <c r="F190" s="14">
        <v>1.149</v>
      </c>
      <c r="G190" s="14">
        <f t="shared" si="41"/>
        <v>0.54500000000000004</v>
      </c>
      <c r="H190" s="14">
        <v>1.149</v>
      </c>
      <c r="I190" s="14">
        <f t="shared" si="42"/>
        <v>0</v>
      </c>
      <c r="J190" s="14">
        <v>1.149</v>
      </c>
      <c r="K190" s="25">
        <f t="shared" si="33"/>
        <v>0</v>
      </c>
      <c r="L190" s="14">
        <v>1.7170000000000001</v>
      </c>
      <c r="M190" s="34">
        <f t="shared" si="34"/>
        <v>0.56800000000000006</v>
      </c>
      <c r="N190" s="14">
        <v>1.7170000000000001</v>
      </c>
      <c r="O190" s="34">
        <f t="shared" si="35"/>
        <v>0</v>
      </c>
      <c r="P190" s="14">
        <v>1.7170000000000001</v>
      </c>
      <c r="Q190" s="25">
        <f t="shared" si="36"/>
        <v>0</v>
      </c>
      <c r="R190" s="14">
        <v>2.3109999999999999</v>
      </c>
      <c r="S190" s="34">
        <f t="shared" si="37"/>
        <v>0.59399999999999986</v>
      </c>
      <c r="T190" s="14"/>
      <c r="U190" s="14"/>
      <c r="V190" s="14"/>
      <c r="W190" s="14"/>
      <c r="X190" s="14"/>
      <c r="Y190" s="25">
        <f t="shared" si="38"/>
        <v>2.3109999999999999</v>
      </c>
      <c r="Z190" s="26">
        <f t="shared" si="39"/>
        <v>77.033333333333331</v>
      </c>
      <c r="AA190" s="26">
        <f t="shared" si="40"/>
        <v>77.033333333333331</v>
      </c>
      <c r="AB190"/>
      <c r="AC190" s="572"/>
      <c r="AE190" s="84"/>
    </row>
    <row r="191" spans="1:31">
      <c r="B191" s="17" t="s">
        <v>599</v>
      </c>
      <c r="C191" s="31"/>
      <c r="D191" s="31">
        <v>1</v>
      </c>
      <c r="E191" s="14"/>
      <c r="F191" s="14">
        <v>0.37919000000000003</v>
      </c>
      <c r="G191" s="14">
        <f t="shared" si="41"/>
        <v>0.37919000000000003</v>
      </c>
      <c r="H191" s="14">
        <v>0.37919000000000003</v>
      </c>
      <c r="I191" s="14">
        <f t="shared" si="42"/>
        <v>0</v>
      </c>
      <c r="J191" s="14">
        <v>0.37919000000000003</v>
      </c>
      <c r="K191" s="25">
        <f t="shared" si="33"/>
        <v>0</v>
      </c>
      <c r="L191" s="14">
        <v>0.37919000000000003</v>
      </c>
      <c r="M191" s="34">
        <f t="shared" si="34"/>
        <v>0</v>
      </c>
      <c r="N191" s="14">
        <v>0.37919000000000003</v>
      </c>
      <c r="O191" s="34">
        <f t="shared" si="35"/>
        <v>0</v>
      </c>
      <c r="P191" s="14">
        <v>0.37919000000000003</v>
      </c>
      <c r="Q191" s="25">
        <f t="shared" si="36"/>
        <v>0</v>
      </c>
      <c r="R191" s="14">
        <v>0.37919000000000003</v>
      </c>
      <c r="S191" s="34">
        <f t="shared" si="37"/>
        <v>0</v>
      </c>
      <c r="T191" s="14"/>
      <c r="U191" s="14"/>
      <c r="V191" s="14"/>
      <c r="W191" s="14"/>
      <c r="X191" s="14"/>
      <c r="Y191" s="25">
        <f t="shared" si="38"/>
        <v>0.37919000000000003</v>
      </c>
      <c r="Z191" s="26"/>
      <c r="AA191" s="26">
        <f t="shared" si="40"/>
        <v>37.919000000000004</v>
      </c>
      <c r="AB191"/>
      <c r="AC191" s="572"/>
      <c r="AE191" s="84"/>
    </row>
    <row r="192" spans="1:31">
      <c r="B192" s="11" t="s">
        <v>411</v>
      </c>
      <c r="C192" s="31">
        <v>130</v>
      </c>
      <c r="D192" s="31">
        <v>160</v>
      </c>
      <c r="E192" s="14">
        <v>29.934999999999999</v>
      </c>
      <c r="F192" s="14">
        <v>34.137999999999998</v>
      </c>
      <c r="G192" s="14">
        <f t="shared" si="41"/>
        <v>4.2029999999999994</v>
      </c>
      <c r="H192" s="14">
        <v>66.308999999999997</v>
      </c>
      <c r="I192" s="14">
        <f t="shared" si="42"/>
        <v>32.170999999999999</v>
      </c>
      <c r="J192" s="14">
        <v>85.426000000000002</v>
      </c>
      <c r="K192" s="25">
        <f t="shared" si="33"/>
        <v>19.117000000000004</v>
      </c>
      <c r="L192" s="14">
        <v>102.583</v>
      </c>
      <c r="M192" s="34">
        <f t="shared" si="34"/>
        <v>17.156999999999996</v>
      </c>
      <c r="N192" s="14">
        <v>109.298</v>
      </c>
      <c r="O192" s="34">
        <f t="shared" si="35"/>
        <v>6.7150000000000034</v>
      </c>
      <c r="P192" s="14">
        <v>121.958</v>
      </c>
      <c r="Q192" s="25">
        <f t="shared" si="36"/>
        <v>12.659999999999997</v>
      </c>
      <c r="R192" s="14">
        <v>144.89400000000001</v>
      </c>
      <c r="S192" s="34">
        <f t="shared" si="37"/>
        <v>22.936000000000007</v>
      </c>
      <c r="T192" s="14"/>
      <c r="U192" s="14"/>
      <c r="V192" s="14"/>
      <c r="W192" s="14"/>
      <c r="X192" s="14"/>
      <c r="Y192" s="25">
        <v>144.89400000000001</v>
      </c>
      <c r="Z192" s="26">
        <f t="shared" si="39"/>
        <v>111.45692307692308</v>
      </c>
      <c r="AA192" s="26">
        <f t="shared" si="40"/>
        <v>90.558750000000003</v>
      </c>
      <c r="AB192"/>
      <c r="AC192" s="572"/>
      <c r="AE192" s="84"/>
    </row>
    <row r="193" spans="2:31">
      <c r="B193" s="11" t="s">
        <v>330</v>
      </c>
      <c r="C193" s="31">
        <v>30</v>
      </c>
      <c r="D193" s="31">
        <v>30</v>
      </c>
      <c r="E193" s="462">
        <v>0</v>
      </c>
      <c r="F193" s="14"/>
      <c r="G193" s="14"/>
      <c r="H193" s="14"/>
      <c r="I193" s="14">
        <f t="shared" si="42"/>
        <v>0</v>
      </c>
      <c r="J193" s="14">
        <v>14.356999999999999</v>
      </c>
      <c r="K193" s="25">
        <f t="shared" si="33"/>
        <v>14.356999999999999</v>
      </c>
      <c r="L193" s="14">
        <v>14.356999999999999</v>
      </c>
      <c r="M193" s="34">
        <f t="shared" si="34"/>
        <v>0</v>
      </c>
      <c r="N193" s="14">
        <v>14.356999999999999</v>
      </c>
      <c r="O193" s="34">
        <f t="shared" si="35"/>
        <v>0</v>
      </c>
      <c r="P193" s="14">
        <v>14.356999999999999</v>
      </c>
      <c r="Q193" s="25">
        <f t="shared" si="36"/>
        <v>0</v>
      </c>
      <c r="R193" s="14">
        <v>14.356999999999999</v>
      </c>
      <c r="S193" s="34">
        <f t="shared" si="37"/>
        <v>0</v>
      </c>
      <c r="T193" s="14"/>
      <c r="U193" s="14"/>
      <c r="V193" s="14"/>
      <c r="W193" s="14"/>
      <c r="X193" s="14"/>
      <c r="Y193" s="25">
        <f t="shared" si="38"/>
        <v>14.356999999999999</v>
      </c>
      <c r="Z193" s="26">
        <f t="shared" si="39"/>
        <v>47.856666666666662</v>
      </c>
      <c r="AA193" s="26">
        <f t="shared" si="40"/>
        <v>47.856666666666662</v>
      </c>
      <c r="AB193"/>
      <c r="AC193" s="572"/>
      <c r="AE193" s="84"/>
    </row>
    <row r="194" spans="2:31">
      <c r="B194" s="11" t="s">
        <v>331</v>
      </c>
      <c r="C194" s="31">
        <v>10</v>
      </c>
      <c r="D194" s="31">
        <v>10</v>
      </c>
      <c r="E194" s="14">
        <v>0.41899999999999998</v>
      </c>
      <c r="F194" s="14">
        <v>0.63900000000000001</v>
      </c>
      <c r="G194" s="14">
        <f t="shared" si="41"/>
        <v>0.22000000000000003</v>
      </c>
      <c r="H194" s="14">
        <v>0.63900000000000001</v>
      </c>
      <c r="I194" s="14">
        <f t="shared" si="42"/>
        <v>0</v>
      </c>
      <c r="J194" s="14">
        <v>3.3570000000000002</v>
      </c>
      <c r="K194" s="25">
        <f t="shared" si="33"/>
        <v>2.718</v>
      </c>
      <c r="L194" s="14">
        <v>3.3570000000000002</v>
      </c>
      <c r="M194" s="34">
        <f t="shared" si="34"/>
        <v>0</v>
      </c>
      <c r="N194" s="14">
        <v>3.4950000000000001</v>
      </c>
      <c r="O194" s="34">
        <f t="shared" si="35"/>
        <v>0.1379999999999999</v>
      </c>
      <c r="P194" s="14">
        <v>3.4950000000000001</v>
      </c>
      <c r="Q194" s="25">
        <f t="shared" si="36"/>
        <v>0</v>
      </c>
      <c r="R194" s="14">
        <v>5.492</v>
      </c>
      <c r="S194" s="34">
        <f t="shared" si="37"/>
        <v>1.9969999999999999</v>
      </c>
      <c r="T194" s="14"/>
      <c r="U194" s="14"/>
      <c r="V194" s="14"/>
      <c r="W194" s="14"/>
      <c r="X194" s="14"/>
      <c r="Y194" s="25">
        <f t="shared" si="38"/>
        <v>5.492</v>
      </c>
      <c r="Z194" s="26">
        <f t="shared" si="39"/>
        <v>54.92</v>
      </c>
      <c r="AA194" s="26">
        <f t="shared" si="40"/>
        <v>54.92</v>
      </c>
      <c r="AB194"/>
      <c r="AC194" s="572"/>
      <c r="AE194" s="84"/>
    </row>
    <row r="195" spans="2:31">
      <c r="B195" s="11" t="s">
        <v>352</v>
      </c>
      <c r="C195" s="31">
        <v>5</v>
      </c>
      <c r="D195" s="31">
        <v>5</v>
      </c>
      <c r="E195" s="14">
        <v>0</v>
      </c>
      <c r="F195" s="14"/>
      <c r="G195" s="14"/>
      <c r="H195" s="14"/>
      <c r="I195" s="14">
        <f t="shared" si="42"/>
        <v>0</v>
      </c>
      <c r="J195" s="14"/>
      <c r="K195" s="25">
        <f t="shared" si="33"/>
        <v>0</v>
      </c>
      <c r="L195" s="14"/>
      <c r="M195" s="34">
        <f t="shared" si="34"/>
        <v>0</v>
      </c>
      <c r="N195" s="14"/>
      <c r="O195" s="34">
        <f t="shared" si="35"/>
        <v>0</v>
      </c>
      <c r="P195" s="14"/>
      <c r="Q195" s="25">
        <f t="shared" si="36"/>
        <v>0</v>
      </c>
      <c r="R195" s="14"/>
      <c r="S195" s="34">
        <f t="shared" si="37"/>
        <v>0</v>
      </c>
      <c r="T195" s="14"/>
      <c r="U195" s="14"/>
      <c r="V195" s="14"/>
      <c r="W195" s="14"/>
      <c r="X195" s="14"/>
      <c r="Y195" s="25">
        <f t="shared" si="38"/>
        <v>0</v>
      </c>
      <c r="Z195" s="26">
        <f t="shared" si="39"/>
        <v>0</v>
      </c>
      <c r="AA195" s="26">
        <f t="shared" si="40"/>
        <v>0</v>
      </c>
      <c r="AB195"/>
      <c r="AC195" s="572"/>
      <c r="AE195" s="84"/>
    </row>
    <row r="196" spans="2:31">
      <c r="B196" s="11" t="s">
        <v>345</v>
      </c>
      <c r="C196" s="31">
        <v>78</v>
      </c>
      <c r="D196" s="31">
        <v>78</v>
      </c>
      <c r="E196" s="14">
        <v>15.87595</v>
      </c>
      <c r="F196" s="14">
        <v>20.37595</v>
      </c>
      <c r="G196" s="14">
        <f t="shared" si="41"/>
        <v>4.5</v>
      </c>
      <c r="H196" s="14">
        <v>24.87595</v>
      </c>
      <c r="I196" s="14">
        <f t="shared" si="42"/>
        <v>4.5</v>
      </c>
      <c r="J196" s="14">
        <v>29.37595</v>
      </c>
      <c r="K196" s="25">
        <f t="shared" si="33"/>
        <v>4.5</v>
      </c>
      <c r="L196" s="14">
        <v>33.875950000000003</v>
      </c>
      <c r="M196" s="34">
        <f t="shared" si="34"/>
        <v>4.5000000000000036</v>
      </c>
      <c r="N196" s="14">
        <v>38.375950000000003</v>
      </c>
      <c r="O196" s="34">
        <f t="shared" si="35"/>
        <v>4.5</v>
      </c>
      <c r="P196" s="14">
        <v>42.875950000000003</v>
      </c>
      <c r="Q196" s="25">
        <f t="shared" si="36"/>
        <v>4.5</v>
      </c>
      <c r="R196" s="14">
        <v>47.375950000000003</v>
      </c>
      <c r="S196" s="34">
        <f t="shared" si="37"/>
        <v>4.5</v>
      </c>
      <c r="T196" s="14"/>
      <c r="U196" s="14"/>
      <c r="V196" s="14"/>
      <c r="W196" s="14"/>
      <c r="X196" s="14"/>
      <c r="Y196" s="25">
        <f t="shared" si="38"/>
        <v>47.375950000000003</v>
      </c>
      <c r="Z196" s="26">
        <f t="shared" si="39"/>
        <v>60.73839743589744</v>
      </c>
      <c r="AA196" s="26">
        <f t="shared" si="40"/>
        <v>60.73839743589744</v>
      </c>
      <c r="AB196"/>
      <c r="AC196" s="572"/>
      <c r="AE196" s="84"/>
    </row>
    <row r="197" spans="2:31">
      <c r="B197" s="11" t="s">
        <v>332</v>
      </c>
      <c r="C197" s="31">
        <v>3</v>
      </c>
      <c r="D197" s="31">
        <v>3</v>
      </c>
      <c r="E197" s="462">
        <v>0</v>
      </c>
      <c r="F197" s="14"/>
      <c r="G197" s="14"/>
      <c r="H197" s="14"/>
      <c r="I197" s="14">
        <f t="shared" si="42"/>
        <v>0</v>
      </c>
      <c r="J197" s="14">
        <v>0.80100000000000005</v>
      </c>
      <c r="K197" s="25">
        <f t="shared" si="33"/>
        <v>0.80100000000000005</v>
      </c>
      <c r="L197" s="14">
        <v>0.80100000000000005</v>
      </c>
      <c r="M197" s="34">
        <f t="shared" si="34"/>
        <v>0</v>
      </c>
      <c r="N197" s="14">
        <v>0.80100000000000005</v>
      </c>
      <c r="O197" s="34">
        <f t="shared" si="35"/>
        <v>0</v>
      </c>
      <c r="P197" s="14">
        <v>0.80100000000000005</v>
      </c>
      <c r="Q197" s="25">
        <f t="shared" si="36"/>
        <v>0</v>
      </c>
      <c r="R197" s="14">
        <v>2.4089999999999998</v>
      </c>
      <c r="S197" s="34">
        <f t="shared" si="37"/>
        <v>1.6079999999999997</v>
      </c>
      <c r="T197" s="14"/>
      <c r="U197" s="14"/>
      <c r="V197" s="14"/>
      <c r="W197" s="14"/>
      <c r="X197" s="14"/>
      <c r="Y197" s="25">
        <f t="shared" si="38"/>
        <v>2.4089999999999998</v>
      </c>
      <c r="Z197" s="26">
        <f t="shared" si="39"/>
        <v>80.3</v>
      </c>
      <c r="AA197" s="26">
        <f t="shared" si="40"/>
        <v>80.3</v>
      </c>
      <c r="AB197"/>
      <c r="AC197" s="572"/>
      <c r="AE197" s="84"/>
    </row>
    <row r="198" spans="2:31">
      <c r="B198" s="11" t="s">
        <v>412</v>
      </c>
      <c r="C198" s="31">
        <v>3</v>
      </c>
      <c r="D198" s="31">
        <v>3</v>
      </c>
      <c r="E198" s="14">
        <v>0.28799999999999998</v>
      </c>
      <c r="F198" s="14">
        <v>0.28799999999999998</v>
      </c>
      <c r="G198" s="14"/>
      <c r="H198" s="14">
        <v>0.28799999999999998</v>
      </c>
      <c r="I198" s="14">
        <f t="shared" si="42"/>
        <v>0</v>
      </c>
      <c r="J198" s="14">
        <v>0.32700000000000001</v>
      </c>
      <c r="K198" s="25">
        <f t="shared" si="33"/>
        <v>3.9000000000000035E-2</v>
      </c>
      <c r="L198" s="14">
        <v>0.36599999999999999</v>
      </c>
      <c r="M198" s="34">
        <f t="shared" si="34"/>
        <v>3.8999999999999979E-2</v>
      </c>
      <c r="N198" s="14">
        <v>0.36599999999999999</v>
      </c>
      <c r="O198" s="34">
        <f t="shared" si="35"/>
        <v>0</v>
      </c>
      <c r="P198" s="14">
        <v>0.36599999999999999</v>
      </c>
      <c r="Q198" s="25">
        <f t="shared" si="36"/>
        <v>0</v>
      </c>
      <c r="R198" s="14">
        <v>0.36599999999999999</v>
      </c>
      <c r="S198" s="34">
        <f t="shared" si="37"/>
        <v>0</v>
      </c>
      <c r="T198" s="14"/>
      <c r="U198" s="14"/>
      <c r="V198" s="14"/>
      <c r="W198" s="14"/>
      <c r="X198" s="14"/>
      <c r="Y198" s="25">
        <f t="shared" si="38"/>
        <v>0.36599999999999999</v>
      </c>
      <c r="Z198" s="26">
        <f t="shared" si="39"/>
        <v>12.2</v>
      </c>
      <c r="AA198" s="26">
        <f t="shared" si="40"/>
        <v>12.2</v>
      </c>
      <c r="AB198"/>
      <c r="AC198" s="572"/>
      <c r="AE198" s="84"/>
    </row>
    <row r="199" spans="2:31">
      <c r="B199" s="11" t="s">
        <v>413</v>
      </c>
      <c r="C199" s="31">
        <v>30</v>
      </c>
      <c r="D199" s="31">
        <v>30</v>
      </c>
      <c r="E199" s="14">
        <v>4.2301299999999999</v>
      </c>
      <c r="F199" s="14">
        <v>5.4194599999999999</v>
      </c>
      <c r="G199" s="14">
        <f t="shared" si="41"/>
        <v>1.18933</v>
      </c>
      <c r="H199" s="14">
        <v>6.6254400000000002</v>
      </c>
      <c r="I199" s="14">
        <f t="shared" si="42"/>
        <v>1.2059800000000003</v>
      </c>
      <c r="J199" s="14">
        <v>7.84483</v>
      </c>
      <c r="K199" s="25">
        <f t="shared" si="33"/>
        <v>1.2193899999999998</v>
      </c>
      <c r="L199" s="14">
        <v>9.0656800000000004</v>
      </c>
      <c r="M199" s="34">
        <f t="shared" si="34"/>
        <v>1.2208500000000004</v>
      </c>
      <c r="N199" s="14">
        <v>10.202310000000001</v>
      </c>
      <c r="O199" s="34">
        <f t="shared" si="35"/>
        <v>1.1366300000000003</v>
      </c>
      <c r="P199" s="14">
        <v>11.23138</v>
      </c>
      <c r="Q199" s="25">
        <f t="shared" si="36"/>
        <v>1.029069999999999</v>
      </c>
      <c r="R199" s="14">
        <v>12.446389999999999</v>
      </c>
      <c r="S199" s="34">
        <f t="shared" si="37"/>
        <v>1.2150099999999995</v>
      </c>
      <c r="T199" s="14"/>
      <c r="U199" s="14"/>
      <c r="V199" s="14"/>
      <c r="W199" s="14"/>
      <c r="X199" s="14"/>
      <c r="Y199" s="25">
        <f t="shared" si="38"/>
        <v>12.446389999999999</v>
      </c>
      <c r="Z199" s="26">
        <f t="shared" si="39"/>
        <v>41.487966666666665</v>
      </c>
      <c r="AA199" s="26">
        <f t="shared" si="40"/>
        <v>41.487966666666665</v>
      </c>
      <c r="AB199"/>
      <c r="AC199" s="572"/>
      <c r="AE199" s="84"/>
    </row>
    <row r="200" spans="2:31">
      <c r="B200" s="11" t="s">
        <v>414</v>
      </c>
      <c r="C200" s="31">
        <v>3</v>
      </c>
      <c r="D200" s="31">
        <v>3</v>
      </c>
      <c r="E200" s="462">
        <v>0</v>
      </c>
      <c r="F200" s="14"/>
      <c r="G200" s="14"/>
      <c r="H200" s="14"/>
      <c r="I200" s="14">
        <f t="shared" si="42"/>
        <v>0</v>
      </c>
      <c r="J200" s="14"/>
      <c r="K200" s="25">
        <f t="shared" si="33"/>
        <v>0</v>
      </c>
      <c r="L200" s="14"/>
      <c r="M200" s="34">
        <f t="shared" si="34"/>
        <v>0</v>
      </c>
      <c r="N200" s="14"/>
      <c r="O200" s="34">
        <f t="shared" si="35"/>
        <v>0</v>
      </c>
      <c r="P200" s="14"/>
      <c r="Q200" s="25">
        <f t="shared" si="36"/>
        <v>0</v>
      </c>
      <c r="R200" s="14"/>
      <c r="S200" s="34">
        <f t="shared" si="37"/>
        <v>0</v>
      </c>
      <c r="T200" s="14"/>
      <c r="U200" s="14"/>
      <c r="V200" s="14"/>
      <c r="W200" s="14"/>
      <c r="X200" s="14"/>
      <c r="Y200" s="25">
        <f t="shared" si="38"/>
        <v>0</v>
      </c>
      <c r="Z200" s="26">
        <f t="shared" si="39"/>
        <v>0</v>
      </c>
      <c r="AA200" s="26">
        <f t="shared" si="40"/>
        <v>0</v>
      </c>
      <c r="AB200"/>
      <c r="AC200" s="572"/>
      <c r="AE200" s="84"/>
    </row>
    <row r="201" spans="2:31" ht="25.5">
      <c r="B201" s="471" t="s">
        <v>550</v>
      </c>
      <c r="C201" s="510">
        <v>10</v>
      </c>
      <c r="D201" s="510">
        <v>10</v>
      </c>
      <c r="E201" s="472">
        <v>9.9700000000000006</v>
      </c>
      <c r="F201" s="472">
        <v>9.9700000000000006</v>
      </c>
      <c r="G201" s="472">
        <f t="shared" si="41"/>
        <v>0</v>
      </c>
      <c r="H201" s="472">
        <v>9.9700000000000006</v>
      </c>
      <c r="I201" s="25">
        <f t="shared" si="42"/>
        <v>0</v>
      </c>
      <c r="J201" s="472">
        <v>9.9700000000000006</v>
      </c>
      <c r="K201" s="25">
        <f t="shared" si="33"/>
        <v>0</v>
      </c>
      <c r="L201" s="472">
        <v>9.9700000000000006</v>
      </c>
      <c r="M201" s="34">
        <f t="shared" si="34"/>
        <v>0</v>
      </c>
      <c r="N201" s="472">
        <v>9.9700000000000006</v>
      </c>
      <c r="O201" s="34">
        <f t="shared" si="35"/>
        <v>0</v>
      </c>
      <c r="P201" s="472">
        <v>9.9700000000000006</v>
      </c>
      <c r="Q201" s="25">
        <f t="shared" si="36"/>
        <v>0</v>
      </c>
      <c r="R201" s="472">
        <v>9.9700000000000006</v>
      </c>
      <c r="S201" s="34">
        <f t="shared" si="37"/>
        <v>0</v>
      </c>
      <c r="T201" s="472"/>
      <c r="U201" s="472"/>
      <c r="V201" s="472"/>
      <c r="W201" s="472"/>
      <c r="X201" s="472"/>
      <c r="Y201" s="25">
        <f t="shared" si="38"/>
        <v>9.9700000000000006</v>
      </c>
      <c r="Z201" s="26">
        <f t="shared" si="39"/>
        <v>99.700000000000017</v>
      </c>
      <c r="AA201" s="26">
        <f t="shared" si="40"/>
        <v>99.700000000000017</v>
      </c>
      <c r="AB201"/>
      <c r="AC201" s="572"/>
      <c r="AE201" s="84"/>
    </row>
    <row r="202" spans="2:31">
      <c r="B202" s="471" t="s">
        <v>464</v>
      </c>
      <c r="C202" s="510">
        <v>50</v>
      </c>
      <c r="D202" s="510">
        <v>4</v>
      </c>
      <c r="E202" s="463">
        <v>0</v>
      </c>
      <c r="F202" s="34"/>
      <c r="G202" s="14"/>
      <c r="H202" s="34"/>
      <c r="I202" s="25">
        <f t="shared" si="42"/>
        <v>0</v>
      </c>
      <c r="J202" s="34"/>
      <c r="K202" s="25">
        <f t="shared" si="33"/>
        <v>0</v>
      </c>
      <c r="L202" s="34">
        <v>1.147</v>
      </c>
      <c r="M202" s="34">
        <f t="shared" si="34"/>
        <v>1.147</v>
      </c>
      <c r="N202" s="34">
        <v>1.147</v>
      </c>
      <c r="O202" s="34">
        <f t="shared" si="35"/>
        <v>0</v>
      </c>
      <c r="P202" s="34">
        <v>1.147</v>
      </c>
      <c r="Q202" s="25">
        <f t="shared" si="36"/>
        <v>0</v>
      </c>
      <c r="R202" s="34">
        <v>1.147</v>
      </c>
      <c r="S202" s="34">
        <f t="shared" si="37"/>
        <v>0</v>
      </c>
      <c r="T202" s="34"/>
      <c r="U202" s="34"/>
      <c r="V202" s="34"/>
      <c r="W202" s="34"/>
      <c r="X202" s="34"/>
      <c r="Y202" s="25">
        <f t="shared" si="38"/>
        <v>1.147</v>
      </c>
      <c r="Z202" s="26">
        <f t="shared" si="39"/>
        <v>2.294</v>
      </c>
      <c r="AA202" s="26">
        <f t="shared" si="40"/>
        <v>28.675000000000001</v>
      </c>
      <c r="AB202"/>
      <c r="AC202" s="572"/>
      <c r="AE202" s="84"/>
    </row>
    <row r="203" spans="2:31">
      <c r="B203" s="11" t="s">
        <v>335</v>
      </c>
      <c r="C203" s="31">
        <v>5</v>
      </c>
      <c r="D203" s="31">
        <v>5</v>
      </c>
      <c r="E203" s="462">
        <v>0</v>
      </c>
      <c r="F203" s="14"/>
      <c r="G203" s="14"/>
      <c r="H203" s="14"/>
      <c r="I203" s="14">
        <f t="shared" si="42"/>
        <v>0</v>
      </c>
      <c r="J203" s="14"/>
      <c r="K203" s="25">
        <f t="shared" si="33"/>
        <v>0</v>
      </c>
      <c r="L203" s="14"/>
      <c r="M203" s="34">
        <f t="shared" si="34"/>
        <v>0</v>
      </c>
      <c r="N203" s="14"/>
      <c r="O203" s="34">
        <f t="shared" si="35"/>
        <v>0</v>
      </c>
      <c r="P203" s="14"/>
      <c r="Q203" s="25">
        <f t="shared" si="36"/>
        <v>0</v>
      </c>
      <c r="R203" s="14"/>
      <c r="S203" s="34">
        <f t="shared" si="37"/>
        <v>0</v>
      </c>
      <c r="T203" s="14"/>
      <c r="U203" s="14"/>
      <c r="V203" s="14"/>
      <c r="W203" s="14"/>
      <c r="X203" s="14"/>
      <c r="Y203" s="25">
        <f t="shared" si="38"/>
        <v>0</v>
      </c>
      <c r="Z203" s="26">
        <f t="shared" si="39"/>
        <v>0</v>
      </c>
      <c r="AA203" s="26">
        <f t="shared" si="40"/>
        <v>0</v>
      </c>
      <c r="AB203"/>
      <c r="AC203" s="572"/>
      <c r="AE203" s="84"/>
    </row>
    <row r="204" spans="2:31">
      <c r="B204" s="11" t="s">
        <v>416</v>
      </c>
      <c r="C204" s="31">
        <v>4</v>
      </c>
      <c r="D204" s="31">
        <v>4</v>
      </c>
      <c r="E204" s="14">
        <v>0.17</v>
      </c>
      <c r="F204" s="14">
        <v>0.17</v>
      </c>
      <c r="G204" s="14"/>
      <c r="H204" s="14">
        <v>0.17</v>
      </c>
      <c r="I204" s="14">
        <f t="shared" si="42"/>
        <v>0</v>
      </c>
      <c r="J204" s="14">
        <v>0.17</v>
      </c>
      <c r="K204" s="25">
        <f t="shared" si="33"/>
        <v>0</v>
      </c>
      <c r="L204" s="14">
        <v>0.17</v>
      </c>
      <c r="M204" s="34">
        <f t="shared" si="34"/>
        <v>0</v>
      </c>
      <c r="N204" s="14">
        <v>0.17</v>
      </c>
      <c r="O204" s="34">
        <f t="shared" si="35"/>
        <v>0</v>
      </c>
      <c r="P204" s="14">
        <v>0.17</v>
      </c>
      <c r="Q204" s="25">
        <f t="shared" si="36"/>
        <v>0</v>
      </c>
      <c r="R204" s="14">
        <v>0.34</v>
      </c>
      <c r="S204" s="34">
        <f t="shared" si="37"/>
        <v>0.17</v>
      </c>
      <c r="T204" s="14"/>
      <c r="U204" s="14"/>
      <c r="V204" s="14"/>
      <c r="W204" s="14"/>
      <c r="X204" s="14"/>
      <c r="Y204" s="25">
        <f t="shared" si="38"/>
        <v>0.34</v>
      </c>
      <c r="Z204" s="26">
        <f t="shared" si="39"/>
        <v>8.5</v>
      </c>
      <c r="AA204" s="26">
        <f t="shared" si="40"/>
        <v>8.5</v>
      </c>
      <c r="AB204"/>
      <c r="AC204" s="572"/>
      <c r="AE204" s="84"/>
    </row>
    <row r="205" spans="2:31">
      <c r="B205" s="11" t="s">
        <v>417</v>
      </c>
      <c r="C205" s="31">
        <v>1</v>
      </c>
      <c r="D205" s="31">
        <v>6</v>
      </c>
      <c r="E205" s="462">
        <v>0</v>
      </c>
      <c r="F205" s="14">
        <v>1.1000000000000001</v>
      </c>
      <c r="G205" s="14">
        <f t="shared" si="41"/>
        <v>1.1000000000000001</v>
      </c>
      <c r="H205" s="14">
        <v>1.1000000000000001</v>
      </c>
      <c r="I205" s="14">
        <f t="shared" si="42"/>
        <v>0</v>
      </c>
      <c r="J205" s="14">
        <v>1.1000000000000001</v>
      </c>
      <c r="K205" s="25">
        <f t="shared" si="33"/>
        <v>0</v>
      </c>
      <c r="L205" s="14">
        <v>1.1000000000000001</v>
      </c>
      <c r="M205" s="34">
        <f t="shared" si="34"/>
        <v>0</v>
      </c>
      <c r="N205" s="14">
        <v>1.1000000000000001</v>
      </c>
      <c r="O205" s="34">
        <f t="shared" si="35"/>
        <v>0</v>
      </c>
      <c r="P205" s="14">
        <v>1.1000000000000001</v>
      </c>
      <c r="Q205" s="25">
        <f t="shared" si="36"/>
        <v>0</v>
      </c>
      <c r="R205" s="14">
        <v>1.1000000000000001</v>
      </c>
      <c r="S205" s="34">
        <f t="shared" si="37"/>
        <v>0</v>
      </c>
      <c r="T205" s="14"/>
      <c r="U205" s="14"/>
      <c r="V205" s="14"/>
      <c r="W205" s="14"/>
      <c r="X205" s="14"/>
      <c r="Y205" s="25">
        <f t="shared" si="38"/>
        <v>1.1000000000000001</v>
      </c>
      <c r="Z205" s="26">
        <f t="shared" si="39"/>
        <v>110.00000000000001</v>
      </c>
      <c r="AA205" s="26">
        <f t="shared" si="40"/>
        <v>18.333333333333336</v>
      </c>
      <c r="AB205"/>
      <c r="AC205" s="572"/>
      <c r="AE205" s="84"/>
    </row>
    <row r="206" spans="2:31">
      <c r="B206" s="11" t="s">
        <v>418</v>
      </c>
      <c r="C206" s="31">
        <v>10</v>
      </c>
      <c r="D206" s="31">
        <v>10</v>
      </c>
      <c r="E206" s="462">
        <v>0</v>
      </c>
      <c r="F206" s="14"/>
      <c r="G206" s="14"/>
      <c r="H206" s="14"/>
      <c r="I206" s="14">
        <f t="shared" si="42"/>
        <v>0</v>
      </c>
      <c r="J206" s="14"/>
      <c r="K206" s="25">
        <f t="shared" si="33"/>
        <v>0</v>
      </c>
      <c r="L206" s="14"/>
      <c r="M206" s="34">
        <f t="shared" si="34"/>
        <v>0</v>
      </c>
      <c r="N206" s="14"/>
      <c r="O206" s="34">
        <f t="shared" si="35"/>
        <v>0</v>
      </c>
      <c r="P206" s="14"/>
      <c r="Q206" s="25">
        <f t="shared" si="36"/>
        <v>0</v>
      </c>
      <c r="R206" s="14"/>
      <c r="S206" s="34">
        <f t="shared" si="37"/>
        <v>0</v>
      </c>
      <c r="T206" s="14"/>
      <c r="U206" s="14"/>
      <c r="V206" s="14"/>
      <c r="W206" s="14"/>
      <c r="X206" s="14"/>
      <c r="Y206" s="25">
        <f t="shared" si="38"/>
        <v>0</v>
      </c>
      <c r="Z206" s="26">
        <f t="shared" si="39"/>
        <v>0</v>
      </c>
      <c r="AA206" s="26">
        <f t="shared" si="40"/>
        <v>0</v>
      </c>
      <c r="AB206"/>
      <c r="AC206" s="572"/>
      <c r="AE206" s="84"/>
    </row>
    <row r="207" spans="2:31">
      <c r="B207" s="11" t="s">
        <v>338</v>
      </c>
      <c r="C207" s="31">
        <v>15</v>
      </c>
      <c r="D207" s="31">
        <v>25</v>
      </c>
      <c r="E207" s="14">
        <v>2.7749999999999999</v>
      </c>
      <c r="F207" s="14">
        <v>3.7749999999999999</v>
      </c>
      <c r="G207" s="14">
        <f t="shared" si="41"/>
        <v>1</v>
      </c>
      <c r="H207" s="14">
        <v>8.8000000000000007</v>
      </c>
      <c r="I207" s="14">
        <f t="shared" si="42"/>
        <v>5.0250000000000004</v>
      </c>
      <c r="J207" s="14">
        <v>9.7750000000000004</v>
      </c>
      <c r="K207" s="25">
        <f t="shared" si="33"/>
        <v>0.97499999999999964</v>
      </c>
      <c r="L207" s="14">
        <v>10.775</v>
      </c>
      <c r="M207" s="34">
        <f t="shared" si="34"/>
        <v>1</v>
      </c>
      <c r="N207" s="14">
        <v>11.625</v>
      </c>
      <c r="O207" s="34">
        <f t="shared" si="35"/>
        <v>0.84999999999999964</v>
      </c>
      <c r="P207" s="14">
        <v>16.175000000000001</v>
      </c>
      <c r="Q207" s="25">
        <f t="shared" si="36"/>
        <v>4.5500000000000007</v>
      </c>
      <c r="R207" s="14">
        <v>17.2</v>
      </c>
      <c r="S207" s="34">
        <f t="shared" si="37"/>
        <v>1.0249999999999986</v>
      </c>
      <c r="T207" s="14"/>
      <c r="U207" s="14"/>
      <c r="V207" s="14"/>
      <c r="W207" s="14"/>
      <c r="X207" s="14"/>
      <c r="Y207" s="25">
        <f t="shared" si="38"/>
        <v>17.2</v>
      </c>
      <c r="Z207" s="26">
        <f t="shared" si="39"/>
        <v>114.66666666666667</v>
      </c>
      <c r="AA207" s="26">
        <f t="shared" si="40"/>
        <v>68.8</v>
      </c>
      <c r="AB207"/>
      <c r="AC207" s="572"/>
      <c r="AE207" s="84"/>
    </row>
    <row r="208" spans="2:31">
      <c r="B208" s="18" t="s">
        <v>10</v>
      </c>
      <c r="C208" s="19">
        <f t="shared" ref="C208:W208" si="43">SUM(C187:C207)</f>
        <v>830</v>
      </c>
      <c r="D208" s="19">
        <f t="shared" si="43"/>
        <v>1224.51</v>
      </c>
      <c r="E208" s="20">
        <f t="shared" si="43"/>
        <v>262.49608000000006</v>
      </c>
      <c r="F208" s="20">
        <f t="shared" si="43"/>
        <v>346.44860000000006</v>
      </c>
      <c r="G208" s="20">
        <f t="shared" si="43"/>
        <v>83.952520000000007</v>
      </c>
      <c r="H208" s="20">
        <f t="shared" si="43"/>
        <v>465.87458000000015</v>
      </c>
      <c r="I208" s="20">
        <f t="shared" si="43"/>
        <v>119.42598</v>
      </c>
      <c r="J208" s="20">
        <f t="shared" si="43"/>
        <v>566.14097000000004</v>
      </c>
      <c r="K208" s="20">
        <f t="shared" si="43"/>
        <v>100.26639000000002</v>
      </c>
      <c r="L208" s="20">
        <f t="shared" si="43"/>
        <v>662.24282000000005</v>
      </c>
      <c r="M208" s="20">
        <f t="shared" si="43"/>
        <v>96.10184999999997</v>
      </c>
      <c r="N208" s="20">
        <f t="shared" si="43"/>
        <v>734.35244999999998</v>
      </c>
      <c r="O208" s="20">
        <f t="shared" si="43"/>
        <v>72.109629999999996</v>
      </c>
      <c r="P208" s="20">
        <f t="shared" si="43"/>
        <v>820.57651999999996</v>
      </c>
      <c r="Q208" s="20">
        <f t="shared" si="43"/>
        <v>86.22407000000004</v>
      </c>
      <c r="R208" s="20">
        <f>SUM(R187:R207)</f>
        <v>930.38153</v>
      </c>
      <c r="S208" s="20">
        <f t="shared" si="43"/>
        <v>109.80500999999995</v>
      </c>
      <c r="T208" s="20">
        <f t="shared" si="43"/>
        <v>0</v>
      </c>
      <c r="U208" s="20">
        <f t="shared" si="43"/>
        <v>0</v>
      </c>
      <c r="V208" s="20">
        <f t="shared" si="43"/>
        <v>0</v>
      </c>
      <c r="W208" s="20">
        <f t="shared" si="43"/>
        <v>0</v>
      </c>
      <c r="X208" s="20"/>
      <c r="Y208" s="20">
        <f>SUM(Y187:Y207)</f>
        <v>930.38153</v>
      </c>
      <c r="Z208" s="18">
        <f>(Y208/C208)*100</f>
        <v>112.09416024096386</v>
      </c>
      <c r="AA208" s="18">
        <f>(Y208/D208)*100</f>
        <v>75.979904614907184</v>
      </c>
      <c r="AB208"/>
    </row>
    <row r="209" spans="1:29" ht="17.25" customHeight="1">
      <c r="B209" s="4"/>
      <c r="C209" s="5"/>
      <c r="D209" s="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395"/>
      <c r="AB209"/>
    </row>
    <row r="210" spans="1:29" ht="17.25" customHeight="1">
      <c r="B210" s="4"/>
      <c r="C210" s="5"/>
      <c r="D210" s="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395"/>
      <c r="AB210"/>
    </row>
    <row r="211" spans="1:29" ht="39" customHeight="1">
      <c r="A211" s="75" t="s">
        <v>313</v>
      </c>
      <c r="B211" s="8" t="s">
        <v>419</v>
      </c>
      <c r="C211" s="507" t="s">
        <v>524</v>
      </c>
      <c r="D211" s="508" t="s">
        <v>315</v>
      </c>
      <c r="E211" s="393" t="s">
        <v>523</v>
      </c>
      <c r="F211" s="393" t="s">
        <v>525</v>
      </c>
      <c r="G211" s="460" t="s">
        <v>534</v>
      </c>
      <c r="H211" s="393" t="s">
        <v>526</v>
      </c>
      <c r="I211" s="460" t="s">
        <v>535</v>
      </c>
      <c r="J211" s="393" t="s">
        <v>527</v>
      </c>
      <c r="K211" s="460" t="s">
        <v>536</v>
      </c>
      <c r="L211" s="393" t="s">
        <v>528</v>
      </c>
      <c r="M211" s="460" t="s">
        <v>537</v>
      </c>
      <c r="N211" s="393" t="s">
        <v>529</v>
      </c>
      <c r="O211" s="460" t="s">
        <v>538</v>
      </c>
      <c r="P211" s="393" t="s">
        <v>530</v>
      </c>
      <c r="Q211" s="460" t="s">
        <v>539</v>
      </c>
      <c r="R211" s="393" t="s">
        <v>531</v>
      </c>
      <c r="S211" s="460" t="s">
        <v>540</v>
      </c>
      <c r="T211" s="393" t="s">
        <v>532</v>
      </c>
      <c r="U211" s="460" t="s">
        <v>541</v>
      </c>
      <c r="V211" s="393" t="s">
        <v>533</v>
      </c>
      <c r="W211" s="460" t="s">
        <v>542</v>
      </c>
      <c r="X211" s="10"/>
      <c r="Y211" s="393" t="s">
        <v>543</v>
      </c>
      <c r="Z211" s="10" t="s">
        <v>309</v>
      </c>
      <c r="AA211" s="396" t="s">
        <v>7</v>
      </c>
      <c r="AB211"/>
    </row>
    <row r="212" spans="1:29">
      <c r="B212" s="49" t="s">
        <v>22</v>
      </c>
      <c r="C212" s="474"/>
      <c r="D212" s="51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413"/>
      <c r="AB212"/>
    </row>
    <row r="213" spans="1:29">
      <c r="A213" s="75" t="s">
        <v>420</v>
      </c>
      <c r="B213" s="11" t="s">
        <v>410</v>
      </c>
      <c r="C213" s="31">
        <v>900</v>
      </c>
      <c r="D213" s="31">
        <v>700</v>
      </c>
      <c r="E213" s="14">
        <v>137.53100000000001</v>
      </c>
      <c r="F213" s="71">
        <v>207.85900000000001</v>
      </c>
      <c r="G213" s="14">
        <f>F213-E213</f>
        <v>70.328000000000003</v>
      </c>
      <c r="H213" s="14">
        <f>73.964+177.665</f>
        <v>251.62899999999999</v>
      </c>
      <c r="I213" s="14">
        <f>H213-F213</f>
        <v>43.769999999999982</v>
      </c>
      <c r="J213" s="14">
        <f>216.886+89.947</f>
        <v>306.83299999999997</v>
      </c>
      <c r="K213" s="25">
        <f t="shared" ref="K213:K241" si="44">J213-H213</f>
        <v>55.203999999999979</v>
      </c>
      <c r="L213" s="14">
        <f>269.254+112.793</f>
        <v>382.04700000000003</v>
      </c>
      <c r="M213" s="34">
        <f t="shared" ref="M213:M241" si="45">L213-J213</f>
        <v>75.214000000000055</v>
      </c>
      <c r="N213" s="14">
        <f>319.275+130.033</f>
        <v>449.30799999999999</v>
      </c>
      <c r="O213" s="34">
        <f t="shared" ref="O213:O241" si="46">N213-L213</f>
        <v>67.260999999999967</v>
      </c>
      <c r="P213" s="14">
        <f>371.251+147.988</f>
        <v>519.23900000000003</v>
      </c>
      <c r="Q213" s="25">
        <f t="shared" ref="Q213:Q241" si="47">P213-N213</f>
        <v>69.93100000000004</v>
      </c>
      <c r="R213" s="14">
        <f>431.277+167.094</f>
        <v>598.37099999999998</v>
      </c>
      <c r="S213" s="34">
        <f t="shared" ref="S213:S241" si="48">R213-P213</f>
        <v>79.131999999999948</v>
      </c>
      <c r="T213" s="14"/>
      <c r="U213" s="14"/>
      <c r="V213" s="14"/>
      <c r="W213" s="14"/>
      <c r="X213" s="14"/>
      <c r="Y213" s="25">
        <f t="shared" ref="Y213:Y241" si="49">E213+G213+I213+K213+M213+O213+Q213+S213+U213+W213</f>
        <v>598.37099999999998</v>
      </c>
      <c r="Z213" s="26">
        <f t="shared" ref="Z213:Z242" si="50">(Y213/C213)*100</f>
        <v>66.48566666666666</v>
      </c>
      <c r="AA213" s="26">
        <f t="shared" ref="AA213:AA242" si="51">(Y213/D213)*100</f>
        <v>85.481571428571428</v>
      </c>
      <c r="AB213"/>
      <c r="AC213" s="489">
        <v>700</v>
      </c>
    </row>
    <row r="214" spans="1:29">
      <c r="B214" s="11" t="s">
        <v>325</v>
      </c>
      <c r="C214" s="31">
        <v>100</v>
      </c>
      <c r="D214" s="31">
        <v>60</v>
      </c>
      <c r="E214" s="14">
        <v>7.32</v>
      </c>
      <c r="F214" s="71">
        <v>9.57</v>
      </c>
      <c r="G214" s="14">
        <f t="shared" ref="G214:G241" si="52">F214-E214</f>
        <v>2.25</v>
      </c>
      <c r="H214" s="25">
        <v>13.095000000000001</v>
      </c>
      <c r="I214" s="14">
        <f t="shared" ref="I214:I241" si="53">H214-F214</f>
        <v>3.5250000000000004</v>
      </c>
      <c r="J214" s="25">
        <v>19.635000000000002</v>
      </c>
      <c r="K214" s="25">
        <f t="shared" si="44"/>
        <v>6.5400000000000009</v>
      </c>
      <c r="L214" s="25">
        <v>27.765000000000001</v>
      </c>
      <c r="M214" s="34">
        <f t="shared" si="45"/>
        <v>8.129999999999999</v>
      </c>
      <c r="N214" s="25">
        <v>36.935000000000002</v>
      </c>
      <c r="O214" s="34">
        <f t="shared" si="46"/>
        <v>9.1700000000000017</v>
      </c>
      <c r="P214" s="25">
        <v>48.414999999999999</v>
      </c>
      <c r="Q214" s="25">
        <f t="shared" si="47"/>
        <v>11.479999999999997</v>
      </c>
      <c r="R214" s="25">
        <v>59.975000000000001</v>
      </c>
      <c r="S214" s="34">
        <f t="shared" si="48"/>
        <v>11.560000000000002</v>
      </c>
      <c r="T214" s="25"/>
      <c r="U214" s="25"/>
      <c r="V214" s="25"/>
      <c r="W214" s="25"/>
      <c r="X214" s="25"/>
      <c r="Y214" s="25">
        <f t="shared" si="49"/>
        <v>59.975000000000001</v>
      </c>
      <c r="Z214" s="26">
        <f t="shared" si="50"/>
        <v>59.975000000000001</v>
      </c>
      <c r="AA214" s="26">
        <f t="shared" si="51"/>
        <v>99.958333333333343</v>
      </c>
      <c r="AB214"/>
      <c r="AC214" s="489">
        <v>60</v>
      </c>
    </row>
    <row r="215" spans="1:29">
      <c r="B215" s="11" t="s">
        <v>326</v>
      </c>
      <c r="C215" s="31">
        <v>370</v>
      </c>
      <c r="D215" s="31">
        <v>320</v>
      </c>
      <c r="E215" s="14">
        <v>59.91</v>
      </c>
      <c r="F215" s="71">
        <v>85.275999999999996</v>
      </c>
      <c r="G215" s="14">
        <f t="shared" si="52"/>
        <v>25.366</v>
      </c>
      <c r="H215" s="14">
        <f>32.032+74.919</f>
        <v>106.95099999999999</v>
      </c>
      <c r="I215" s="14">
        <f t="shared" si="53"/>
        <v>21.674999999999997</v>
      </c>
      <c r="J215" s="14">
        <f>88.983+37.876</f>
        <v>126.85900000000001</v>
      </c>
      <c r="K215" s="25">
        <f t="shared" si="44"/>
        <v>19.908000000000015</v>
      </c>
      <c r="L215" s="14">
        <f>107.75+46.176</f>
        <v>153.92599999999999</v>
      </c>
      <c r="M215" s="34">
        <f t="shared" si="45"/>
        <v>27.066999999999979</v>
      </c>
      <c r="N215" s="14">
        <f>125.811+52.434</f>
        <v>178.245</v>
      </c>
      <c r="O215" s="34">
        <f t="shared" si="46"/>
        <v>24.319000000000017</v>
      </c>
      <c r="P215" s="14">
        <f>144.596+58.955</f>
        <v>203.55099999999999</v>
      </c>
      <c r="Q215" s="25">
        <f t="shared" si="47"/>
        <v>25.305999999999983</v>
      </c>
      <c r="R215" s="14">
        <f>166.291+65.335</f>
        <v>231.62599999999998</v>
      </c>
      <c r="S215" s="34">
        <f t="shared" si="48"/>
        <v>28.074999999999989</v>
      </c>
      <c r="T215" s="14"/>
      <c r="U215" s="14"/>
      <c r="V215" s="14"/>
      <c r="W215" s="14"/>
      <c r="X215" s="14"/>
      <c r="Y215" s="25">
        <f t="shared" si="49"/>
        <v>231.62599999999998</v>
      </c>
      <c r="Z215" s="26">
        <f t="shared" si="50"/>
        <v>62.601621621621618</v>
      </c>
      <c r="AA215" s="26">
        <f t="shared" si="51"/>
        <v>72.383124999999993</v>
      </c>
      <c r="AB215"/>
      <c r="AC215" s="489">
        <v>320</v>
      </c>
    </row>
    <row r="216" spans="1:29">
      <c r="B216" s="11" t="s">
        <v>327</v>
      </c>
      <c r="C216" s="31">
        <v>150</v>
      </c>
      <c r="D216" s="31">
        <v>130</v>
      </c>
      <c r="E216" s="14">
        <v>23.36</v>
      </c>
      <c r="F216" s="71">
        <v>34.232999999999997</v>
      </c>
      <c r="G216" s="14">
        <f t="shared" si="52"/>
        <v>10.872999999999998</v>
      </c>
      <c r="H216" s="14">
        <f>11.405+31.954</f>
        <v>43.359000000000002</v>
      </c>
      <c r="I216" s="14">
        <f t="shared" si="53"/>
        <v>9.1260000000000048</v>
      </c>
      <c r="J216" s="14">
        <f>37.981+13.91</f>
        <v>51.891000000000005</v>
      </c>
      <c r="K216" s="25">
        <f t="shared" si="44"/>
        <v>8.5320000000000036</v>
      </c>
      <c r="L216" s="14">
        <f>46.025+17.467</f>
        <v>63.491999999999997</v>
      </c>
      <c r="M216" s="34">
        <f t="shared" si="45"/>
        <v>11.600999999999992</v>
      </c>
      <c r="N216" s="14">
        <f>53.768+20.149</f>
        <v>73.917000000000002</v>
      </c>
      <c r="O216" s="34">
        <f t="shared" si="46"/>
        <v>10.425000000000004</v>
      </c>
      <c r="P216" s="14">
        <f>61.821+22.944</f>
        <v>84.765000000000001</v>
      </c>
      <c r="Q216" s="25">
        <f t="shared" si="47"/>
        <v>10.847999999999999</v>
      </c>
      <c r="R216" s="14">
        <f>71.122+25.678</f>
        <v>96.8</v>
      </c>
      <c r="S216" s="34">
        <f t="shared" si="48"/>
        <v>12.034999999999997</v>
      </c>
      <c r="T216" s="14"/>
      <c r="U216" s="14"/>
      <c r="V216" s="14"/>
      <c r="W216" s="14"/>
      <c r="X216" s="14"/>
      <c r="Y216" s="25">
        <f t="shared" si="49"/>
        <v>96.8</v>
      </c>
      <c r="Z216" s="26">
        <f t="shared" si="50"/>
        <v>64.533333333333331</v>
      </c>
      <c r="AA216" s="26">
        <f t="shared" si="51"/>
        <v>74.461538461538453</v>
      </c>
      <c r="AB216"/>
      <c r="AC216" s="570">
        <v>130</v>
      </c>
    </row>
    <row r="217" spans="1:29">
      <c r="B217" s="11" t="s">
        <v>328</v>
      </c>
      <c r="C217" s="31">
        <v>5</v>
      </c>
      <c r="D217" s="31">
        <v>5</v>
      </c>
      <c r="E217" s="14">
        <v>0.81200000000000006</v>
      </c>
      <c r="F217" s="71">
        <v>1.6830000000000001</v>
      </c>
      <c r="G217" s="14">
        <f t="shared" si="52"/>
        <v>0.871</v>
      </c>
      <c r="H217" s="14">
        <v>1.6830000000000001</v>
      </c>
      <c r="I217" s="14">
        <f t="shared" si="53"/>
        <v>0</v>
      </c>
      <c r="J217" s="14">
        <v>1.6830000000000001</v>
      </c>
      <c r="K217" s="25">
        <f t="shared" si="44"/>
        <v>0</v>
      </c>
      <c r="L217" s="14">
        <v>2.577</v>
      </c>
      <c r="M217" s="34">
        <f t="shared" si="45"/>
        <v>0.89399999999999991</v>
      </c>
      <c r="N217" s="14">
        <v>2.577</v>
      </c>
      <c r="O217" s="34">
        <f t="shared" si="46"/>
        <v>0</v>
      </c>
      <c r="P217" s="14">
        <v>2.577</v>
      </c>
      <c r="Q217" s="25">
        <f t="shared" si="47"/>
        <v>0</v>
      </c>
      <c r="R217" s="14">
        <v>3.5960000000000001</v>
      </c>
      <c r="S217" s="34">
        <f t="shared" si="48"/>
        <v>1.0190000000000001</v>
      </c>
      <c r="T217" s="14"/>
      <c r="U217" s="14"/>
      <c r="V217" s="14"/>
      <c r="W217" s="14"/>
      <c r="X217" s="14"/>
      <c r="Y217" s="25">
        <f t="shared" si="49"/>
        <v>3.5960000000000001</v>
      </c>
      <c r="Z217" s="26">
        <f t="shared" si="50"/>
        <v>71.92</v>
      </c>
      <c r="AA217" s="26">
        <f t="shared" si="51"/>
        <v>71.92</v>
      </c>
      <c r="AB217"/>
      <c r="AC217" s="570">
        <v>5</v>
      </c>
    </row>
    <row r="218" spans="1:29">
      <c r="B218" s="11" t="s">
        <v>421</v>
      </c>
      <c r="C218" s="31">
        <v>3</v>
      </c>
      <c r="D218" s="31">
        <v>3</v>
      </c>
      <c r="E218" s="14"/>
      <c r="F218" s="71"/>
      <c r="G218" s="14"/>
      <c r="H218" s="14"/>
      <c r="I218" s="14">
        <f t="shared" si="53"/>
        <v>0</v>
      </c>
      <c r="J218" s="14"/>
      <c r="K218" s="25">
        <f t="shared" si="44"/>
        <v>0</v>
      </c>
      <c r="L218" s="14"/>
      <c r="M218" s="34">
        <f t="shared" si="45"/>
        <v>0</v>
      </c>
      <c r="N218" s="14"/>
      <c r="O218" s="34">
        <f t="shared" si="46"/>
        <v>0</v>
      </c>
      <c r="P218" s="14"/>
      <c r="Q218" s="25">
        <f t="shared" si="47"/>
        <v>0</v>
      </c>
      <c r="R218" s="14"/>
      <c r="S218" s="34">
        <f t="shared" si="48"/>
        <v>0</v>
      </c>
      <c r="T218" s="14"/>
      <c r="U218" s="14"/>
      <c r="V218" s="14"/>
      <c r="W218" s="14"/>
      <c r="X218" s="14"/>
      <c r="Y218" s="25">
        <f t="shared" si="49"/>
        <v>0</v>
      </c>
      <c r="Z218" s="26">
        <f t="shared" si="50"/>
        <v>0</v>
      </c>
      <c r="AA218" s="26">
        <f t="shared" si="51"/>
        <v>0</v>
      </c>
      <c r="AB218"/>
      <c r="AC218" s="570">
        <v>3</v>
      </c>
    </row>
    <row r="219" spans="1:29">
      <c r="B219" s="17" t="s">
        <v>601</v>
      </c>
      <c r="C219" s="31"/>
      <c r="D219" s="31">
        <v>1</v>
      </c>
      <c r="E219" s="14"/>
      <c r="F219" s="528">
        <v>0.18719</v>
      </c>
      <c r="G219" s="14">
        <f t="shared" si="52"/>
        <v>0.18719</v>
      </c>
      <c r="H219" s="14">
        <v>0.23379</v>
      </c>
      <c r="I219" s="14">
        <f t="shared" si="53"/>
        <v>4.6600000000000003E-2</v>
      </c>
      <c r="J219" s="14">
        <v>0.23379</v>
      </c>
      <c r="K219" s="25">
        <f t="shared" si="44"/>
        <v>0</v>
      </c>
      <c r="L219" s="14">
        <v>0.23379</v>
      </c>
      <c r="M219" s="34">
        <f t="shared" si="45"/>
        <v>0</v>
      </c>
      <c r="N219" s="14">
        <v>0.23379</v>
      </c>
      <c r="O219" s="34">
        <f t="shared" si="46"/>
        <v>0</v>
      </c>
      <c r="P219" s="14">
        <v>0.23379</v>
      </c>
      <c r="Q219" s="25">
        <f t="shared" si="47"/>
        <v>0</v>
      </c>
      <c r="R219" s="14">
        <v>0.23379</v>
      </c>
      <c r="S219" s="34">
        <f t="shared" si="48"/>
        <v>0</v>
      </c>
      <c r="T219" s="14"/>
      <c r="U219" s="14"/>
      <c r="V219" s="14"/>
      <c r="W219" s="14"/>
      <c r="X219" s="14"/>
      <c r="Y219" s="25">
        <f t="shared" si="49"/>
        <v>0.23379</v>
      </c>
      <c r="Z219" s="26"/>
      <c r="AA219" s="26"/>
      <c r="AB219"/>
      <c r="AC219" s="570">
        <v>1</v>
      </c>
    </row>
    <row r="220" spans="1:29">
      <c r="B220" s="11" t="s">
        <v>411</v>
      </c>
      <c r="C220" s="31">
        <v>10</v>
      </c>
      <c r="D220" s="31">
        <v>1</v>
      </c>
      <c r="E220" s="14"/>
      <c r="F220" s="71"/>
      <c r="G220" s="14"/>
      <c r="H220" s="14">
        <v>5.8079999999999998</v>
      </c>
      <c r="I220" s="14">
        <f t="shared" si="53"/>
        <v>5.8079999999999998</v>
      </c>
      <c r="J220" s="14">
        <v>5.8079999999999998</v>
      </c>
      <c r="K220" s="25">
        <f t="shared" si="44"/>
        <v>0</v>
      </c>
      <c r="L220" s="14"/>
      <c r="M220" s="34">
        <f t="shared" si="45"/>
        <v>-5.8079999999999998</v>
      </c>
      <c r="N220" s="14"/>
      <c r="O220" s="34">
        <f t="shared" si="46"/>
        <v>0</v>
      </c>
      <c r="P220" s="14"/>
      <c r="Q220" s="25">
        <f t="shared" si="47"/>
        <v>0</v>
      </c>
      <c r="R220" s="14"/>
      <c r="S220" s="34">
        <f t="shared" si="48"/>
        <v>0</v>
      </c>
      <c r="T220" s="14"/>
      <c r="U220" s="14"/>
      <c r="V220" s="14"/>
      <c r="W220" s="14"/>
      <c r="X220" s="14"/>
      <c r="Y220" s="25">
        <f t="shared" si="49"/>
        <v>0</v>
      </c>
      <c r="Z220" s="26">
        <f t="shared" si="50"/>
        <v>0</v>
      </c>
      <c r="AA220" s="26">
        <f t="shared" si="51"/>
        <v>0</v>
      </c>
      <c r="AB220"/>
      <c r="AC220" s="570">
        <v>1</v>
      </c>
    </row>
    <row r="221" spans="1:29">
      <c r="B221" s="11" t="s">
        <v>330</v>
      </c>
      <c r="C221" s="31">
        <v>40</v>
      </c>
      <c r="D221" s="31">
        <v>21</v>
      </c>
      <c r="E221" s="14"/>
      <c r="F221" s="71"/>
      <c r="G221" s="14"/>
      <c r="H221" s="25"/>
      <c r="I221" s="14">
        <f t="shared" si="53"/>
        <v>0</v>
      </c>
      <c r="J221" s="25">
        <v>17.824999999999999</v>
      </c>
      <c r="K221" s="25">
        <f t="shared" si="44"/>
        <v>17.824999999999999</v>
      </c>
      <c r="L221" s="25">
        <v>17.824999999999999</v>
      </c>
      <c r="M221" s="34">
        <f t="shared" si="45"/>
        <v>0</v>
      </c>
      <c r="N221" s="25">
        <v>17.824999999999999</v>
      </c>
      <c r="O221" s="34">
        <f t="shared" si="46"/>
        <v>0</v>
      </c>
      <c r="P221" s="25">
        <v>17.824999999999999</v>
      </c>
      <c r="Q221" s="25">
        <f t="shared" si="47"/>
        <v>0</v>
      </c>
      <c r="R221" s="25">
        <v>20.324000000000002</v>
      </c>
      <c r="S221" s="34">
        <f t="shared" si="48"/>
        <v>2.4990000000000023</v>
      </c>
      <c r="T221" s="25"/>
      <c r="U221" s="25"/>
      <c r="V221" s="25"/>
      <c r="W221" s="25"/>
      <c r="X221" s="25"/>
      <c r="Y221" s="25">
        <f t="shared" si="49"/>
        <v>20.324000000000002</v>
      </c>
      <c r="Z221" s="26">
        <f t="shared" si="50"/>
        <v>50.81</v>
      </c>
      <c r="AA221" s="26">
        <f t="shared" si="51"/>
        <v>96.780952380952385</v>
      </c>
      <c r="AB221"/>
      <c r="AC221" s="570">
        <v>21</v>
      </c>
    </row>
    <row r="222" spans="1:29">
      <c r="B222" s="11" t="s">
        <v>422</v>
      </c>
      <c r="C222" s="31">
        <v>105</v>
      </c>
      <c r="D222" s="31">
        <v>139</v>
      </c>
      <c r="E222" s="14">
        <v>82.739500000000007</v>
      </c>
      <c r="F222" s="71">
        <v>82.739500000000007</v>
      </c>
      <c r="G222" s="14"/>
      <c r="H222" s="14">
        <v>84.668499999999995</v>
      </c>
      <c r="I222" s="14">
        <f t="shared" si="53"/>
        <v>1.9289999999999878</v>
      </c>
      <c r="J222" s="14">
        <v>90.192499999999995</v>
      </c>
      <c r="K222" s="25">
        <f t="shared" si="44"/>
        <v>5.5240000000000009</v>
      </c>
      <c r="L222" s="14">
        <v>100.03149999999999</v>
      </c>
      <c r="M222" s="34">
        <f t="shared" si="45"/>
        <v>9.8389999999999986</v>
      </c>
      <c r="N222" s="14">
        <v>120.1135</v>
      </c>
      <c r="O222" s="34">
        <f t="shared" si="46"/>
        <v>20.082000000000008</v>
      </c>
      <c r="P222" s="14">
        <v>128.16749999999999</v>
      </c>
      <c r="Q222" s="25">
        <f t="shared" si="47"/>
        <v>8.0539999999999878</v>
      </c>
      <c r="R222" s="14">
        <v>136.24449999999999</v>
      </c>
      <c r="S222" s="34">
        <f t="shared" si="48"/>
        <v>8.0769999999999982</v>
      </c>
      <c r="T222" s="14"/>
      <c r="U222" s="14"/>
      <c r="V222" s="14"/>
      <c r="W222" s="14"/>
      <c r="X222" s="14"/>
      <c r="Y222" s="25">
        <f t="shared" si="49"/>
        <v>136.24449999999999</v>
      </c>
      <c r="Z222" s="26">
        <f t="shared" si="50"/>
        <v>129.75666666666666</v>
      </c>
      <c r="AA222" s="26">
        <f t="shared" si="51"/>
        <v>98.017625899280574</v>
      </c>
      <c r="AB222"/>
      <c r="AC222" s="570">
        <v>139</v>
      </c>
    </row>
    <row r="223" spans="1:29">
      <c r="B223" s="11" t="s">
        <v>331</v>
      </c>
      <c r="C223" s="31">
        <v>45</v>
      </c>
      <c r="D223" s="13">
        <v>20</v>
      </c>
      <c r="E223" s="14">
        <v>9.6869999999999994</v>
      </c>
      <c r="F223" s="71">
        <v>9.7270000000000003</v>
      </c>
      <c r="G223" s="14">
        <f t="shared" si="52"/>
        <v>4.0000000000000924E-2</v>
      </c>
      <c r="H223" s="14">
        <v>9.9640000000000004</v>
      </c>
      <c r="I223" s="14">
        <f t="shared" si="53"/>
        <v>0.2370000000000001</v>
      </c>
      <c r="J223" s="14">
        <v>10.419</v>
      </c>
      <c r="K223" s="25">
        <f t="shared" si="44"/>
        <v>0.45500000000000007</v>
      </c>
      <c r="L223" s="14">
        <v>11.382999999999999</v>
      </c>
      <c r="M223" s="34">
        <f t="shared" si="45"/>
        <v>0.96399999999999864</v>
      </c>
      <c r="N223" s="14">
        <v>11.96</v>
      </c>
      <c r="O223" s="34">
        <f t="shared" si="46"/>
        <v>0.57700000000000173</v>
      </c>
      <c r="P223" s="14">
        <v>14.6515</v>
      </c>
      <c r="Q223" s="25">
        <f t="shared" si="47"/>
        <v>2.6914999999999996</v>
      </c>
      <c r="R223" s="14">
        <v>26.614850000000001</v>
      </c>
      <c r="S223" s="34">
        <f t="shared" si="48"/>
        <v>11.96335</v>
      </c>
      <c r="T223" s="14"/>
      <c r="U223" s="14"/>
      <c r="V223" s="14"/>
      <c r="W223" s="14"/>
      <c r="X223" s="14"/>
      <c r="Y223" s="25">
        <f t="shared" si="49"/>
        <v>26.614850000000001</v>
      </c>
      <c r="Z223" s="26">
        <f t="shared" si="50"/>
        <v>59.144111111111108</v>
      </c>
      <c r="AA223" s="26">
        <f t="shared" si="51"/>
        <v>133.07425000000001</v>
      </c>
      <c r="AB223"/>
      <c r="AC223" s="570">
        <v>20</v>
      </c>
    </row>
    <row r="224" spans="1:29">
      <c r="B224" s="11" t="s">
        <v>352</v>
      </c>
      <c r="C224" s="31">
        <v>14</v>
      </c>
      <c r="D224" s="13">
        <v>3</v>
      </c>
      <c r="E224" s="14"/>
      <c r="F224" s="71">
        <v>1.6419999999999999</v>
      </c>
      <c r="G224" s="14">
        <f t="shared" si="52"/>
        <v>1.6419999999999999</v>
      </c>
      <c r="H224" s="14">
        <v>1.6419999999999999</v>
      </c>
      <c r="I224" s="14">
        <f t="shared" si="53"/>
        <v>0</v>
      </c>
      <c r="J224" s="14">
        <v>1.6419999999999999</v>
      </c>
      <c r="K224" s="25">
        <f t="shared" si="44"/>
        <v>0</v>
      </c>
      <c r="L224" s="14">
        <v>3.238</v>
      </c>
      <c r="M224" s="34">
        <f t="shared" si="45"/>
        <v>1.5960000000000001</v>
      </c>
      <c r="N224" s="14">
        <v>3.238</v>
      </c>
      <c r="O224" s="34">
        <f t="shared" si="46"/>
        <v>0</v>
      </c>
      <c r="P224" s="14">
        <v>3.238</v>
      </c>
      <c r="Q224" s="25">
        <f t="shared" si="47"/>
        <v>0</v>
      </c>
      <c r="R224" s="14">
        <v>4.8179999999999996</v>
      </c>
      <c r="S224" s="34">
        <f t="shared" si="48"/>
        <v>1.5799999999999996</v>
      </c>
      <c r="T224" s="14"/>
      <c r="U224" s="14"/>
      <c r="V224" s="14"/>
      <c r="W224" s="14"/>
      <c r="X224" s="14"/>
      <c r="Y224" s="25">
        <f t="shared" si="49"/>
        <v>4.8179999999999996</v>
      </c>
      <c r="Z224" s="26">
        <f t="shared" si="50"/>
        <v>34.414285714285711</v>
      </c>
      <c r="AA224" s="26">
        <f t="shared" si="51"/>
        <v>160.6</v>
      </c>
      <c r="AB224"/>
      <c r="AC224" s="570">
        <v>3</v>
      </c>
    </row>
    <row r="225" spans="2:29">
      <c r="B225" s="52" t="s">
        <v>23</v>
      </c>
      <c r="C225" s="31">
        <v>160</v>
      </c>
      <c r="D225" s="13">
        <v>140</v>
      </c>
      <c r="E225" s="14">
        <v>37.200000000000003</v>
      </c>
      <c r="F225" s="71">
        <v>49.6</v>
      </c>
      <c r="G225" s="14">
        <f t="shared" si="52"/>
        <v>12.399999999999999</v>
      </c>
      <c r="H225" s="14">
        <v>62</v>
      </c>
      <c r="I225" s="14">
        <f t="shared" si="53"/>
        <v>12.399999999999999</v>
      </c>
      <c r="J225" s="14">
        <v>74.400000000000006</v>
      </c>
      <c r="K225" s="25">
        <f t="shared" si="44"/>
        <v>12.400000000000006</v>
      </c>
      <c r="L225" s="14">
        <v>86.8</v>
      </c>
      <c r="M225" s="34">
        <f t="shared" si="45"/>
        <v>12.399999999999991</v>
      </c>
      <c r="N225" s="14">
        <v>99.2</v>
      </c>
      <c r="O225" s="34">
        <f t="shared" si="46"/>
        <v>12.400000000000006</v>
      </c>
      <c r="P225" s="14">
        <v>111.6</v>
      </c>
      <c r="Q225" s="25">
        <f t="shared" si="47"/>
        <v>12.399999999999991</v>
      </c>
      <c r="R225" s="14">
        <v>124</v>
      </c>
      <c r="S225" s="34">
        <f t="shared" si="48"/>
        <v>12.400000000000006</v>
      </c>
      <c r="T225" s="14"/>
      <c r="U225" s="14"/>
      <c r="V225" s="14"/>
      <c r="W225" s="14"/>
      <c r="X225" s="14"/>
      <c r="Y225" s="25">
        <f t="shared" si="49"/>
        <v>124</v>
      </c>
      <c r="Z225" s="26">
        <f t="shared" si="50"/>
        <v>77.5</v>
      </c>
      <c r="AA225" s="26">
        <f t="shared" si="51"/>
        <v>88.571428571428569</v>
      </c>
      <c r="AB225"/>
      <c r="AC225" s="570">
        <v>140</v>
      </c>
    </row>
    <row r="226" spans="2:29">
      <c r="B226" s="11" t="s">
        <v>345</v>
      </c>
      <c r="C226" s="31">
        <v>70</v>
      </c>
      <c r="D226" s="13">
        <v>2</v>
      </c>
      <c r="E226" s="14">
        <v>6.96997</v>
      </c>
      <c r="F226" s="71">
        <v>9.1399699999999999</v>
      </c>
      <c r="G226" s="14">
        <f t="shared" si="52"/>
        <v>2.17</v>
      </c>
      <c r="H226" s="14">
        <v>11.30997</v>
      </c>
      <c r="I226" s="14">
        <f t="shared" si="53"/>
        <v>2.17</v>
      </c>
      <c r="J226" s="14">
        <v>13.47997</v>
      </c>
      <c r="K226" s="25">
        <f t="shared" si="44"/>
        <v>2.17</v>
      </c>
      <c r="L226" s="14">
        <v>15.64997</v>
      </c>
      <c r="M226" s="34">
        <f t="shared" si="45"/>
        <v>2.17</v>
      </c>
      <c r="N226" s="14">
        <v>17.819970000000001</v>
      </c>
      <c r="O226" s="34">
        <f t="shared" si="46"/>
        <v>2.1700000000000017</v>
      </c>
      <c r="P226" s="14">
        <v>19.98997</v>
      </c>
      <c r="Q226" s="25">
        <f t="shared" si="47"/>
        <v>2.1699999999999982</v>
      </c>
      <c r="R226" s="14">
        <v>22.159970000000001</v>
      </c>
      <c r="S226" s="34">
        <f t="shared" si="48"/>
        <v>2.1700000000000017</v>
      </c>
      <c r="T226" s="14"/>
      <c r="U226" s="14"/>
      <c r="V226" s="14"/>
      <c r="W226" s="14"/>
      <c r="X226" s="14"/>
      <c r="Y226" s="25">
        <f t="shared" si="49"/>
        <v>22.159970000000001</v>
      </c>
      <c r="Z226" s="26">
        <f t="shared" si="50"/>
        <v>31.6571</v>
      </c>
      <c r="AA226" s="26">
        <f t="shared" si="51"/>
        <v>1107.9985000000001</v>
      </c>
      <c r="AB226"/>
      <c r="AC226" s="570">
        <v>2</v>
      </c>
    </row>
    <row r="227" spans="2:29">
      <c r="B227" s="11" t="s">
        <v>332</v>
      </c>
      <c r="C227" s="31">
        <v>5</v>
      </c>
      <c r="D227" s="24">
        <v>5</v>
      </c>
      <c r="E227" s="14">
        <v>0</v>
      </c>
      <c r="F227" s="526"/>
      <c r="G227" s="14"/>
      <c r="H227" s="25"/>
      <c r="I227" s="14">
        <f t="shared" si="53"/>
        <v>0</v>
      </c>
      <c r="J227" s="25"/>
      <c r="K227" s="25">
        <f t="shared" si="44"/>
        <v>0</v>
      </c>
      <c r="L227" s="25"/>
      <c r="M227" s="34">
        <f t="shared" si="45"/>
        <v>0</v>
      </c>
      <c r="N227" s="25"/>
      <c r="O227" s="34">
        <f t="shared" si="46"/>
        <v>0</v>
      </c>
      <c r="P227" s="25"/>
      <c r="Q227" s="25">
        <f t="shared" si="47"/>
        <v>0</v>
      </c>
      <c r="R227" s="25"/>
      <c r="S227" s="34">
        <f t="shared" si="48"/>
        <v>0</v>
      </c>
      <c r="T227" s="25"/>
      <c r="U227" s="25"/>
      <c r="V227" s="25"/>
      <c r="W227" s="25"/>
      <c r="X227" s="25"/>
      <c r="Y227" s="25">
        <f t="shared" si="49"/>
        <v>0</v>
      </c>
      <c r="Z227" s="26">
        <f t="shared" si="50"/>
        <v>0</v>
      </c>
      <c r="AA227" s="26">
        <f t="shared" si="51"/>
        <v>0</v>
      </c>
      <c r="AB227"/>
      <c r="AC227" s="570">
        <v>5</v>
      </c>
    </row>
    <row r="228" spans="2:29">
      <c r="B228" s="11" t="s">
        <v>412</v>
      </c>
      <c r="C228" s="31">
        <v>30</v>
      </c>
      <c r="D228" s="13">
        <v>30</v>
      </c>
      <c r="E228" s="14">
        <v>4.6100000000000003</v>
      </c>
      <c r="F228" s="71">
        <f>6.318+0.18719</f>
        <v>6.5051899999999998</v>
      </c>
      <c r="G228" s="14">
        <f t="shared" si="52"/>
        <v>1.8951899999999995</v>
      </c>
      <c r="H228" s="14">
        <v>11.473000000000001</v>
      </c>
      <c r="I228" s="14">
        <f t="shared" si="53"/>
        <v>4.9678100000000009</v>
      </c>
      <c r="J228" s="14">
        <f>1.978+10.207-0.712</f>
        <v>11.473000000000001</v>
      </c>
      <c r="K228" s="25">
        <f t="shared" si="44"/>
        <v>0</v>
      </c>
      <c r="L228" s="14">
        <f>1.978+14.037-0.712</f>
        <v>15.303000000000001</v>
      </c>
      <c r="M228" s="34">
        <f t="shared" si="45"/>
        <v>3.83</v>
      </c>
      <c r="N228" s="14">
        <f>2.081+13.325</f>
        <v>15.405999999999999</v>
      </c>
      <c r="O228" s="34">
        <f t="shared" si="46"/>
        <v>0.10299999999999798</v>
      </c>
      <c r="P228" s="14">
        <f>2.081+16.015-0.712</f>
        <v>17.384</v>
      </c>
      <c r="Q228" s="25">
        <f t="shared" si="47"/>
        <v>1.9780000000000015</v>
      </c>
      <c r="R228" s="14">
        <f>2.081+18.175-0.712</f>
        <v>19.544</v>
      </c>
      <c r="S228" s="34">
        <f t="shared" si="48"/>
        <v>2.16</v>
      </c>
      <c r="T228" s="14"/>
      <c r="U228" s="14"/>
      <c r="V228" s="14"/>
      <c r="W228" s="14"/>
      <c r="X228" s="14"/>
      <c r="Y228" s="25">
        <f t="shared" si="49"/>
        <v>19.544</v>
      </c>
      <c r="Z228" s="26">
        <f t="shared" si="50"/>
        <v>65.146666666666661</v>
      </c>
      <c r="AA228" s="26">
        <f t="shared" si="51"/>
        <v>65.146666666666661</v>
      </c>
      <c r="AB228"/>
      <c r="AC228" s="570">
        <v>30</v>
      </c>
    </row>
    <row r="229" spans="2:29">
      <c r="B229" s="11" t="s">
        <v>423</v>
      </c>
      <c r="C229" s="31">
        <v>45</v>
      </c>
      <c r="D229" s="13">
        <v>35</v>
      </c>
      <c r="E229" s="14">
        <v>5.4120999999999997</v>
      </c>
      <c r="F229" s="71">
        <v>7.1580300000000001</v>
      </c>
      <c r="G229" s="14">
        <f t="shared" si="52"/>
        <v>1.7459300000000004</v>
      </c>
      <c r="H229" s="14">
        <v>9.0481800000000003</v>
      </c>
      <c r="I229" s="14">
        <f t="shared" si="53"/>
        <v>1.8901500000000002</v>
      </c>
      <c r="J229" s="14">
        <v>11.027089999999999</v>
      </c>
      <c r="K229" s="25">
        <f t="shared" si="44"/>
        <v>1.9789099999999991</v>
      </c>
      <c r="L229" s="14">
        <v>13.23016</v>
      </c>
      <c r="M229" s="34">
        <f t="shared" si="45"/>
        <v>2.2030700000000003</v>
      </c>
      <c r="N229" s="14">
        <v>14.81499</v>
      </c>
      <c r="O229" s="34">
        <f t="shared" si="46"/>
        <v>1.5848300000000002</v>
      </c>
      <c r="P229" s="14">
        <v>16.36523</v>
      </c>
      <c r="Q229" s="25">
        <f t="shared" si="47"/>
        <v>1.5502400000000005</v>
      </c>
      <c r="R229" s="14">
        <v>18.702279999999998</v>
      </c>
      <c r="S229" s="34">
        <f t="shared" si="48"/>
        <v>2.3370499999999979</v>
      </c>
      <c r="T229" s="14"/>
      <c r="U229" s="14"/>
      <c r="V229" s="14"/>
      <c r="W229" s="14"/>
      <c r="X229" s="14"/>
      <c r="Y229" s="25">
        <f t="shared" si="49"/>
        <v>18.702279999999998</v>
      </c>
      <c r="Z229" s="26">
        <f t="shared" si="50"/>
        <v>41.560622222222221</v>
      </c>
      <c r="AA229" s="26">
        <f t="shared" si="51"/>
        <v>53.435085714285712</v>
      </c>
      <c r="AB229"/>
      <c r="AC229" s="569">
        <v>35</v>
      </c>
    </row>
    <row r="230" spans="2:29">
      <c r="B230" s="17" t="s">
        <v>334</v>
      </c>
      <c r="C230" s="31"/>
      <c r="D230" s="13">
        <v>9</v>
      </c>
      <c r="E230" s="14"/>
      <c r="F230" s="71"/>
      <c r="G230" s="14"/>
      <c r="H230" s="14"/>
      <c r="I230" s="14">
        <f t="shared" si="53"/>
        <v>0</v>
      </c>
      <c r="J230" s="14"/>
      <c r="K230" s="25">
        <f t="shared" si="44"/>
        <v>0</v>
      </c>
      <c r="L230" s="14"/>
      <c r="M230" s="34">
        <f t="shared" si="45"/>
        <v>0</v>
      </c>
      <c r="N230" s="14"/>
      <c r="O230" s="34">
        <f t="shared" si="46"/>
        <v>0</v>
      </c>
      <c r="P230" s="14"/>
      <c r="Q230" s="25">
        <f t="shared" si="47"/>
        <v>0</v>
      </c>
      <c r="R230" s="14"/>
      <c r="S230" s="34">
        <f t="shared" si="48"/>
        <v>0</v>
      </c>
      <c r="T230" s="14"/>
      <c r="U230" s="14"/>
      <c r="V230" s="14"/>
      <c r="W230" s="14"/>
      <c r="X230" s="14"/>
      <c r="Y230" s="25"/>
      <c r="Z230" s="26"/>
      <c r="AA230" s="26"/>
      <c r="AB230"/>
      <c r="AC230" s="570">
        <v>9</v>
      </c>
    </row>
    <row r="231" spans="2:29">
      <c r="B231" s="11" t="s">
        <v>425</v>
      </c>
      <c r="C231" s="31">
        <v>10</v>
      </c>
      <c r="D231" s="13">
        <v>10</v>
      </c>
      <c r="E231" s="14">
        <v>4</v>
      </c>
      <c r="F231" s="71">
        <v>4</v>
      </c>
      <c r="G231" s="14">
        <f t="shared" si="52"/>
        <v>0</v>
      </c>
      <c r="H231" s="14">
        <v>4</v>
      </c>
      <c r="I231" s="14">
        <f t="shared" si="53"/>
        <v>0</v>
      </c>
      <c r="J231" s="14">
        <v>4</v>
      </c>
      <c r="K231" s="25">
        <f t="shared" si="44"/>
        <v>0</v>
      </c>
      <c r="L231" s="14">
        <v>4</v>
      </c>
      <c r="M231" s="34">
        <f t="shared" si="45"/>
        <v>0</v>
      </c>
      <c r="N231" s="14">
        <v>4</v>
      </c>
      <c r="O231" s="34">
        <f t="shared" si="46"/>
        <v>0</v>
      </c>
      <c r="P231" s="14">
        <v>4</v>
      </c>
      <c r="Q231" s="25">
        <f t="shared" si="47"/>
        <v>0</v>
      </c>
      <c r="R231" s="14">
        <v>4</v>
      </c>
      <c r="S231" s="34">
        <f t="shared" si="48"/>
        <v>0</v>
      </c>
      <c r="T231" s="14"/>
      <c r="U231" s="14"/>
      <c r="V231" s="14"/>
      <c r="W231" s="14"/>
      <c r="X231" s="14"/>
      <c r="Y231" s="25">
        <f t="shared" si="49"/>
        <v>4</v>
      </c>
      <c r="Z231" s="26">
        <f t="shared" si="50"/>
        <v>40</v>
      </c>
      <c r="AA231" s="26">
        <f t="shared" si="51"/>
        <v>40</v>
      </c>
      <c r="AB231"/>
      <c r="AC231" s="570">
        <v>10</v>
      </c>
    </row>
    <row r="232" spans="2:29">
      <c r="B232" s="11" t="s">
        <v>319</v>
      </c>
      <c r="C232" s="31">
        <v>20</v>
      </c>
      <c r="D232" s="24">
        <v>20</v>
      </c>
      <c r="E232" s="25">
        <v>3.4</v>
      </c>
      <c r="F232" s="71">
        <v>3.4</v>
      </c>
      <c r="G232" s="14">
        <f t="shared" si="52"/>
        <v>0</v>
      </c>
      <c r="H232" s="25">
        <v>3.4</v>
      </c>
      <c r="I232" s="14">
        <f t="shared" si="53"/>
        <v>0</v>
      </c>
      <c r="J232" s="25">
        <v>3.4</v>
      </c>
      <c r="K232" s="25">
        <f t="shared" si="44"/>
        <v>0</v>
      </c>
      <c r="L232" s="25">
        <v>3.4</v>
      </c>
      <c r="M232" s="34">
        <f t="shared" si="45"/>
        <v>0</v>
      </c>
      <c r="N232" s="25">
        <v>6.4</v>
      </c>
      <c r="O232" s="34">
        <f t="shared" si="46"/>
        <v>3.0000000000000004</v>
      </c>
      <c r="P232" s="25">
        <v>6.4</v>
      </c>
      <c r="Q232" s="25">
        <f t="shared" si="47"/>
        <v>0</v>
      </c>
      <c r="R232" s="25">
        <v>6.4</v>
      </c>
      <c r="S232" s="34">
        <f t="shared" si="48"/>
        <v>0</v>
      </c>
      <c r="T232" s="25"/>
      <c r="U232" s="25"/>
      <c r="V232" s="25"/>
      <c r="W232" s="25"/>
      <c r="X232" s="25"/>
      <c r="Y232" s="25">
        <f t="shared" si="49"/>
        <v>6.4</v>
      </c>
      <c r="Z232" s="26">
        <f t="shared" si="50"/>
        <v>32</v>
      </c>
      <c r="AA232" s="26">
        <f t="shared" si="51"/>
        <v>32</v>
      </c>
      <c r="AB232"/>
      <c r="AC232" s="570">
        <v>20</v>
      </c>
    </row>
    <row r="233" spans="2:29">
      <c r="B233" s="471" t="s">
        <v>320</v>
      </c>
      <c r="C233" s="33">
        <v>470</v>
      </c>
      <c r="D233" s="23">
        <v>738</v>
      </c>
      <c r="E233" s="34">
        <v>162.851</v>
      </c>
      <c r="F233" s="527">
        <v>191.029</v>
      </c>
      <c r="G233" s="34">
        <f t="shared" si="52"/>
        <v>28.177999999999997</v>
      </c>
      <c r="H233" s="34">
        <f>142.92333+117.685</f>
        <v>260.60833000000002</v>
      </c>
      <c r="I233" s="14">
        <f t="shared" si="53"/>
        <v>69.579330000000027</v>
      </c>
      <c r="J233" s="34">
        <f>183.98433+138.73-5.808</f>
        <v>316.90633000000003</v>
      </c>
      <c r="K233" s="25">
        <f t="shared" si="44"/>
        <v>56.298000000000002</v>
      </c>
      <c r="L233" s="34">
        <f>261.34954+162.89</f>
        <v>424.23953999999998</v>
      </c>
      <c r="M233" s="34">
        <f t="shared" si="45"/>
        <v>107.33320999999995</v>
      </c>
      <c r="N233" s="34">
        <f>295.90154+184.784</f>
        <v>480.68554</v>
      </c>
      <c r="O233" s="34">
        <f t="shared" si="46"/>
        <v>56.446000000000026</v>
      </c>
      <c r="P233" s="34">
        <f>306.58154+208.944+59</f>
        <v>574.52553999999998</v>
      </c>
      <c r="Q233" s="25">
        <f t="shared" si="47"/>
        <v>93.839999999999975</v>
      </c>
      <c r="R233" s="34">
        <f>327.98154+59+170.6+233.104</f>
        <v>790.68554000000006</v>
      </c>
      <c r="S233" s="34">
        <f t="shared" si="48"/>
        <v>216.16000000000008</v>
      </c>
      <c r="T233" s="34"/>
      <c r="U233" s="34"/>
      <c r="V233" s="34"/>
      <c r="W233" s="34"/>
      <c r="X233" s="34"/>
      <c r="Y233" s="25">
        <f t="shared" si="49"/>
        <v>790.68554000000006</v>
      </c>
      <c r="Z233" s="26">
        <f t="shared" si="50"/>
        <v>168.23096595744681</v>
      </c>
      <c r="AA233" s="26">
        <f t="shared" si="51"/>
        <v>107.13896205962061</v>
      </c>
      <c r="AB233"/>
      <c r="AC233" s="570">
        <v>738</v>
      </c>
    </row>
    <row r="234" spans="2:29">
      <c r="B234" s="11" t="s">
        <v>335</v>
      </c>
      <c r="C234" s="31">
        <v>20</v>
      </c>
      <c r="D234" s="13">
        <v>20</v>
      </c>
      <c r="E234" s="14"/>
      <c r="F234" s="71"/>
      <c r="G234" s="14"/>
      <c r="H234" s="14">
        <v>2.41</v>
      </c>
      <c r="I234" s="14">
        <f t="shared" si="53"/>
        <v>2.41</v>
      </c>
      <c r="J234" s="14">
        <v>2.41</v>
      </c>
      <c r="K234" s="25">
        <f t="shared" si="44"/>
        <v>0</v>
      </c>
      <c r="L234" s="14">
        <v>2.41</v>
      </c>
      <c r="M234" s="34">
        <f t="shared" si="45"/>
        <v>0</v>
      </c>
      <c r="N234" s="14">
        <v>2.41</v>
      </c>
      <c r="O234" s="34">
        <f t="shared" si="46"/>
        <v>0</v>
      </c>
      <c r="P234" s="14">
        <v>2.41</v>
      </c>
      <c r="Q234" s="25">
        <f t="shared" si="47"/>
        <v>0</v>
      </c>
      <c r="R234" s="14">
        <v>2.41</v>
      </c>
      <c r="S234" s="34">
        <f t="shared" si="48"/>
        <v>0</v>
      </c>
      <c r="T234" s="14"/>
      <c r="U234" s="14"/>
      <c r="V234" s="14"/>
      <c r="W234" s="14"/>
      <c r="X234" s="14"/>
      <c r="Y234" s="25">
        <f t="shared" si="49"/>
        <v>2.41</v>
      </c>
      <c r="Z234" s="26">
        <f t="shared" si="50"/>
        <v>12.05</v>
      </c>
      <c r="AA234" s="26">
        <f t="shared" si="51"/>
        <v>12.05</v>
      </c>
      <c r="AB234"/>
      <c r="AC234" s="570">
        <v>20</v>
      </c>
    </row>
    <row r="235" spans="2:29">
      <c r="B235" s="11" t="s">
        <v>416</v>
      </c>
      <c r="C235" s="31">
        <v>3</v>
      </c>
      <c r="D235" s="13">
        <v>3</v>
      </c>
      <c r="E235" s="14"/>
      <c r="F235" s="71">
        <v>0.48399999999999999</v>
      </c>
      <c r="G235" s="14">
        <f t="shared" si="52"/>
        <v>0.48399999999999999</v>
      </c>
      <c r="H235" s="14">
        <v>0.48399999999999999</v>
      </c>
      <c r="I235" s="14">
        <f t="shared" si="53"/>
        <v>0</v>
      </c>
      <c r="J235" s="14">
        <v>0.48399999999999999</v>
      </c>
      <c r="K235" s="25">
        <f t="shared" si="44"/>
        <v>0</v>
      </c>
      <c r="L235" s="14">
        <v>0.48399999999999999</v>
      </c>
      <c r="M235" s="34">
        <f t="shared" si="45"/>
        <v>0</v>
      </c>
      <c r="N235" s="14">
        <v>0.79800000000000004</v>
      </c>
      <c r="O235" s="34">
        <f t="shared" si="46"/>
        <v>0.31400000000000006</v>
      </c>
      <c r="P235" s="14">
        <v>0.79800000000000004</v>
      </c>
      <c r="Q235" s="25">
        <f t="shared" si="47"/>
        <v>0</v>
      </c>
      <c r="R235" s="14">
        <v>1.1739999999999999</v>
      </c>
      <c r="S235" s="34">
        <f t="shared" si="48"/>
        <v>0.37599999999999989</v>
      </c>
      <c r="T235" s="14"/>
      <c r="U235" s="14"/>
      <c r="V235" s="14"/>
      <c r="W235" s="14"/>
      <c r="X235" s="14"/>
      <c r="Y235" s="25">
        <f t="shared" si="49"/>
        <v>1.1739999999999999</v>
      </c>
      <c r="Z235" s="26">
        <f t="shared" si="50"/>
        <v>39.133333333333333</v>
      </c>
      <c r="AA235" s="26">
        <f t="shared" si="51"/>
        <v>39.133333333333333</v>
      </c>
      <c r="AB235"/>
      <c r="AC235" s="570">
        <v>3</v>
      </c>
    </row>
    <row r="236" spans="2:29">
      <c r="B236" s="11" t="s">
        <v>426</v>
      </c>
      <c r="C236" s="31">
        <v>20</v>
      </c>
      <c r="D236" s="13">
        <v>20</v>
      </c>
      <c r="E236" s="14">
        <v>2.9220000000000002</v>
      </c>
      <c r="F236" s="71">
        <v>2.9220000000000002</v>
      </c>
      <c r="G236" s="14"/>
      <c r="H236" s="14">
        <v>3.4790000000000001</v>
      </c>
      <c r="I236" s="14">
        <f t="shared" si="53"/>
        <v>0.55699999999999994</v>
      </c>
      <c r="J236" s="14">
        <v>3.4790000000000001</v>
      </c>
      <c r="K236" s="25">
        <f t="shared" si="44"/>
        <v>0</v>
      </c>
      <c r="L236" s="14">
        <v>4.3579999999999997</v>
      </c>
      <c r="M236" s="34">
        <f t="shared" si="45"/>
        <v>0.87899999999999956</v>
      </c>
      <c r="N236" s="14">
        <v>4.3579999999999997</v>
      </c>
      <c r="O236" s="34">
        <f t="shared" si="46"/>
        <v>0</v>
      </c>
      <c r="P236" s="14">
        <v>4.6959999999999997</v>
      </c>
      <c r="Q236" s="25">
        <f t="shared" si="47"/>
        <v>0.33800000000000008</v>
      </c>
      <c r="R236" s="14">
        <v>4.8220000000000001</v>
      </c>
      <c r="S236" s="34">
        <f t="shared" si="48"/>
        <v>0.12600000000000033</v>
      </c>
      <c r="T236" s="14"/>
      <c r="U236" s="14"/>
      <c r="V236" s="14"/>
      <c r="W236" s="14"/>
      <c r="X236" s="14"/>
      <c r="Y236" s="25">
        <f t="shared" si="49"/>
        <v>4.8220000000000001</v>
      </c>
      <c r="Z236" s="26">
        <f t="shared" si="50"/>
        <v>24.11</v>
      </c>
      <c r="AA236" s="26">
        <f t="shared" si="51"/>
        <v>24.11</v>
      </c>
      <c r="AB236"/>
      <c r="AC236" s="570">
        <v>20</v>
      </c>
    </row>
    <row r="237" spans="2:29">
      <c r="B237" s="11" t="s">
        <v>427</v>
      </c>
      <c r="C237" s="31">
        <v>5</v>
      </c>
      <c r="D237" s="24">
        <v>5</v>
      </c>
      <c r="E237" s="14">
        <v>0</v>
      </c>
      <c r="F237" s="526"/>
      <c r="G237" s="14"/>
      <c r="H237" s="25"/>
      <c r="I237" s="14">
        <f t="shared" si="53"/>
        <v>0</v>
      </c>
      <c r="J237" s="25"/>
      <c r="K237" s="25">
        <f t="shared" si="44"/>
        <v>0</v>
      </c>
      <c r="L237" s="25"/>
      <c r="M237" s="34">
        <f t="shared" si="45"/>
        <v>0</v>
      </c>
      <c r="N237" s="25"/>
      <c r="O237" s="34">
        <f t="shared" si="46"/>
        <v>0</v>
      </c>
      <c r="P237" s="25"/>
      <c r="Q237" s="25">
        <f t="shared" si="47"/>
        <v>0</v>
      </c>
      <c r="R237" s="25"/>
      <c r="S237" s="34">
        <f t="shared" si="48"/>
        <v>0</v>
      </c>
      <c r="T237" s="25"/>
      <c r="U237" s="25"/>
      <c r="V237" s="25"/>
      <c r="W237" s="25"/>
      <c r="X237" s="25"/>
      <c r="Y237" s="25">
        <f t="shared" si="49"/>
        <v>0</v>
      </c>
      <c r="Z237" s="26">
        <f t="shared" si="50"/>
        <v>0</v>
      </c>
      <c r="AA237" s="26">
        <f t="shared" si="51"/>
        <v>0</v>
      </c>
      <c r="AB237"/>
      <c r="AC237" s="570">
        <v>5</v>
      </c>
    </row>
    <row r="238" spans="2:29">
      <c r="B238" s="11" t="s">
        <v>428</v>
      </c>
      <c r="C238" s="31"/>
      <c r="D238" s="13"/>
      <c r="E238" s="14"/>
      <c r="F238" s="71"/>
      <c r="G238" s="14"/>
      <c r="H238" s="14"/>
      <c r="I238" s="14">
        <f t="shared" si="53"/>
        <v>0</v>
      </c>
      <c r="J238" s="14"/>
      <c r="K238" s="25">
        <f t="shared" si="44"/>
        <v>0</v>
      </c>
      <c r="L238" s="14"/>
      <c r="M238" s="34">
        <f t="shared" si="45"/>
        <v>0</v>
      </c>
      <c r="N238" s="14"/>
      <c r="O238" s="34">
        <f t="shared" si="46"/>
        <v>0</v>
      </c>
      <c r="P238" s="14"/>
      <c r="Q238" s="25">
        <f t="shared" si="47"/>
        <v>0</v>
      </c>
      <c r="R238" s="14"/>
      <c r="S238" s="34">
        <f t="shared" si="48"/>
        <v>0</v>
      </c>
      <c r="T238" s="14"/>
      <c r="U238" s="14"/>
      <c r="V238" s="14"/>
      <c r="W238" s="14"/>
      <c r="X238" s="14"/>
      <c r="Y238" s="25">
        <f t="shared" si="49"/>
        <v>0</v>
      </c>
      <c r="Z238" s="26"/>
      <c r="AA238" s="26"/>
      <c r="AB238"/>
      <c r="AC238" s="569">
        <v>5</v>
      </c>
    </row>
    <row r="239" spans="2:29">
      <c r="B239" s="11" t="s">
        <v>429</v>
      </c>
      <c r="C239" s="31"/>
      <c r="D239" s="13"/>
      <c r="E239" s="14"/>
      <c r="F239" s="71"/>
      <c r="G239" s="14"/>
      <c r="H239" s="14"/>
      <c r="I239" s="14">
        <f t="shared" si="53"/>
        <v>0</v>
      </c>
      <c r="J239" s="14"/>
      <c r="K239" s="25">
        <f t="shared" si="44"/>
        <v>0</v>
      </c>
      <c r="L239" s="14"/>
      <c r="M239" s="34">
        <f t="shared" si="45"/>
        <v>0</v>
      </c>
      <c r="N239" s="14"/>
      <c r="O239" s="34">
        <f t="shared" si="46"/>
        <v>0</v>
      </c>
      <c r="P239" s="14"/>
      <c r="Q239" s="25">
        <f t="shared" si="47"/>
        <v>0</v>
      </c>
      <c r="R239" s="14"/>
      <c r="S239" s="34">
        <f t="shared" si="48"/>
        <v>0</v>
      </c>
      <c r="T239" s="14"/>
      <c r="U239" s="14"/>
      <c r="V239" s="14"/>
      <c r="W239" s="14"/>
      <c r="X239" s="14"/>
      <c r="Y239" s="25">
        <f t="shared" si="49"/>
        <v>0</v>
      </c>
      <c r="Z239" s="26"/>
      <c r="AA239" s="26"/>
      <c r="AB239"/>
      <c r="AC239" s="525">
        <v>30</v>
      </c>
    </row>
    <row r="240" spans="2:29">
      <c r="B240" s="11" t="s">
        <v>418</v>
      </c>
      <c r="C240" s="31">
        <v>5</v>
      </c>
      <c r="D240" s="13">
        <v>5</v>
      </c>
      <c r="E240" s="14">
        <v>0.23</v>
      </c>
      <c r="F240" s="71">
        <v>0.23</v>
      </c>
      <c r="G240" s="14"/>
      <c r="H240" s="14">
        <v>0.23</v>
      </c>
      <c r="I240" s="14">
        <f t="shared" si="53"/>
        <v>0</v>
      </c>
      <c r="J240" s="14">
        <v>0.23</v>
      </c>
      <c r="K240" s="25">
        <f t="shared" si="44"/>
        <v>0</v>
      </c>
      <c r="L240" s="14">
        <v>0.23</v>
      </c>
      <c r="M240" s="34">
        <f t="shared" si="45"/>
        <v>0</v>
      </c>
      <c r="N240" s="14">
        <v>0.23</v>
      </c>
      <c r="O240" s="34">
        <f t="shared" si="46"/>
        <v>0</v>
      </c>
      <c r="P240" s="14">
        <v>0.23</v>
      </c>
      <c r="Q240" s="25">
        <f t="shared" si="47"/>
        <v>0</v>
      </c>
      <c r="R240" s="14">
        <v>0.23</v>
      </c>
      <c r="S240" s="34">
        <f t="shared" si="48"/>
        <v>0</v>
      </c>
      <c r="T240" s="14"/>
      <c r="U240" s="14"/>
      <c r="V240" s="14"/>
      <c r="W240" s="14"/>
      <c r="X240" s="14"/>
      <c r="Y240" s="25">
        <f t="shared" si="49"/>
        <v>0.23</v>
      </c>
      <c r="Z240" s="26">
        <f t="shared" si="50"/>
        <v>4.5999999999999996</v>
      </c>
      <c r="AA240" s="26">
        <f t="shared" si="51"/>
        <v>4.5999999999999996</v>
      </c>
      <c r="AB240"/>
      <c r="AC240" s="489">
        <f>SUM(AC213:AC239)</f>
        <v>2475</v>
      </c>
    </row>
    <row r="241" spans="1:29">
      <c r="B241" s="11" t="s">
        <v>338</v>
      </c>
      <c r="C241" s="31">
        <v>20</v>
      </c>
      <c r="D241" s="13">
        <v>30</v>
      </c>
      <c r="E241" s="14">
        <v>4.3</v>
      </c>
      <c r="F241" s="71">
        <v>5.7750000000000004</v>
      </c>
      <c r="G241" s="14">
        <f t="shared" si="52"/>
        <v>1.4750000000000005</v>
      </c>
      <c r="H241" s="14">
        <v>13.225</v>
      </c>
      <c r="I241" s="14">
        <f t="shared" si="53"/>
        <v>7.4499999999999993</v>
      </c>
      <c r="J241" s="14">
        <v>14.4</v>
      </c>
      <c r="K241" s="25">
        <f t="shared" si="44"/>
        <v>1.1750000000000007</v>
      </c>
      <c r="L241" s="14">
        <v>15.8</v>
      </c>
      <c r="M241" s="34">
        <f t="shared" si="45"/>
        <v>1.4000000000000004</v>
      </c>
      <c r="N241" s="14">
        <v>17.524999999999999</v>
      </c>
      <c r="O241" s="34">
        <f t="shared" si="46"/>
        <v>1.7249999999999979</v>
      </c>
      <c r="P241" s="14">
        <v>25.2</v>
      </c>
      <c r="Q241" s="25">
        <f t="shared" si="47"/>
        <v>7.6750000000000007</v>
      </c>
      <c r="R241" s="14">
        <f>15.125+12</f>
        <v>27.125</v>
      </c>
      <c r="S241" s="34">
        <f t="shared" si="48"/>
        <v>1.9250000000000007</v>
      </c>
      <c r="T241" s="14"/>
      <c r="U241" s="14"/>
      <c r="V241" s="14"/>
      <c r="W241" s="14"/>
      <c r="X241" s="14"/>
      <c r="Y241" s="25">
        <f t="shared" si="49"/>
        <v>27.125</v>
      </c>
      <c r="Z241" s="26">
        <f t="shared" si="50"/>
        <v>135.625</v>
      </c>
      <c r="AA241" s="26">
        <f t="shared" si="51"/>
        <v>90.416666666666671</v>
      </c>
      <c r="AB241"/>
    </row>
    <row r="242" spans="1:29">
      <c r="B242" s="53"/>
      <c r="C242" s="54">
        <f>SUM(C213:C241)</f>
        <v>2625</v>
      </c>
      <c r="D242" s="54">
        <f>SUM(D213:D241)</f>
        <v>2475</v>
      </c>
      <c r="E242" s="40">
        <f>SUM(E213:E241)</f>
        <v>553.25457000000006</v>
      </c>
      <c r="F242" s="40">
        <f>SUM(F213:F241)</f>
        <v>713.15988000000004</v>
      </c>
      <c r="G242" s="40">
        <f t="shared" ref="G242:W242" si="54">SUM(G213:G241)</f>
        <v>159.90530999999999</v>
      </c>
      <c r="H242" s="40">
        <f t="shared" si="54"/>
        <v>900.70077000000003</v>
      </c>
      <c r="I242" s="40">
        <f t="shared" si="54"/>
        <v>187.54088999999996</v>
      </c>
      <c r="J242" s="40">
        <f t="shared" si="54"/>
        <v>1088.7106800000001</v>
      </c>
      <c r="K242" s="40">
        <f t="shared" si="54"/>
        <v>188.00990999999999</v>
      </c>
      <c r="L242" s="40">
        <f t="shared" si="54"/>
        <v>1348.4229600000001</v>
      </c>
      <c r="M242" s="40">
        <f t="shared" si="54"/>
        <v>259.71227999999996</v>
      </c>
      <c r="N242" s="40">
        <f t="shared" si="54"/>
        <v>1557.9997900000005</v>
      </c>
      <c r="O242" s="40">
        <f t="shared" si="54"/>
        <v>209.57683000000003</v>
      </c>
      <c r="P242" s="434">
        <f t="shared" si="54"/>
        <v>1806.2615300000004</v>
      </c>
      <c r="Q242" s="434">
        <f t="shared" si="54"/>
        <v>248.26173999999995</v>
      </c>
      <c r="R242" s="434">
        <f t="shared" si="54"/>
        <v>2199.8559299999997</v>
      </c>
      <c r="S242" s="40">
        <f t="shared" si="54"/>
        <v>393.59440000000001</v>
      </c>
      <c r="T242" s="40">
        <f t="shared" si="54"/>
        <v>0</v>
      </c>
      <c r="U242" s="40">
        <f t="shared" si="54"/>
        <v>0</v>
      </c>
      <c r="V242" s="40">
        <f t="shared" si="54"/>
        <v>0</v>
      </c>
      <c r="W242" s="40">
        <f t="shared" si="54"/>
        <v>0</v>
      </c>
      <c r="X242" s="40"/>
      <c r="Y242" s="434">
        <f>SUM(Y213:Y241)</f>
        <v>2199.8559299999997</v>
      </c>
      <c r="Z242" s="39">
        <f t="shared" si="50"/>
        <v>83.804035428571424</v>
      </c>
      <c r="AA242" s="39">
        <f t="shared" si="51"/>
        <v>88.88306787878787</v>
      </c>
      <c r="AB242"/>
    </row>
    <row r="243" spans="1:29">
      <c r="B243" s="55"/>
      <c r="C243" s="46"/>
      <c r="D243" s="4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414"/>
      <c r="AB243"/>
    </row>
    <row r="244" spans="1:29">
      <c r="A244" s="75" t="s">
        <v>313</v>
      </c>
      <c r="B244" s="49" t="s">
        <v>24</v>
      </c>
      <c r="C244" s="474"/>
      <c r="D244" s="51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413"/>
      <c r="AB244"/>
    </row>
    <row r="245" spans="1:29">
      <c r="A245" s="75" t="s">
        <v>430</v>
      </c>
      <c r="B245" s="11" t="s">
        <v>331</v>
      </c>
      <c r="C245" s="31">
        <v>2</v>
      </c>
      <c r="D245" s="13">
        <v>2</v>
      </c>
      <c r="E245" s="14"/>
      <c r="F245" s="71"/>
      <c r="G245" s="14">
        <f>F245-E245</f>
        <v>0</v>
      </c>
      <c r="H245" s="14"/>
      <c r="I245" s="14">
        <f>H245-F245</f>
        <v>0</v>
      </c>
      <c r="J245" s="14"/>
      <c r="K245" s="25">
        <f t="shared" ref="K245:K251" si="55">J245-H245</f>
        <v>0</v>
      </c>
      <c r="L245" s="14">
        <v>0.185</v>
      </c>
      <c r="M245" s="34">
        <f t="shared" ref="M245:M251" si="56">L245-J245</f>
        <v>0.185</v>
      </c>
      <c r="N245" s="14">
        <v>0.185</v>
      </c>
      <c r="O245" s="34">
        <f t="shared" ref="O245:O251" si="57">N245-L245</f>
        <v>0</v>
      </c>
      <c r="P245" s="14">
        <v>0.185</v>
      </c>
      <c r="Q245" s="25">
        <f t="shared" ref="Q245:Q251" si="58">P245-N245</f>
        <v>0</v>
      </c>
      <c r="R245" s="14">
        <v>0.185</v>
      </c>
      <c r="S245" s="34">
        <f t="shared" ref="S245:S251" si="59">R245-P245</f>
        <v>0</v>
      </c>
      <c r="T245" s="14"/>
      <c r="U245" s="14"/>
      <c r="V245" s="14"/>
      <c r="W245" s="14"/>
      <c r="X245" s="14"/>
      <c r="Y245" s="25">
        <f t="shared" ref="Y245:Y251" si="60">E245+G245+I245+K245+M245+O245+Q245+S245+U245+W245</f>
        <v>0.185</v>
      </c>
      <c r="Z245" s="26">
        <f t="shared" ref="Z245:Z252" si="61">(Y245/C245)*100</f>
        <v>9.25</v>
      </c>
      <c r="AA245" s="26">
        <f t="shared" ref="AA245:AA252" si="62">(Y245/D245)*100</f>
        <v>9.25</v>
      </c>
      <c r="AB245"/>
    </row>
    <row r="246" spans="1:29">
      <c r="B246" s="11" t="s">
        <v>352</v>
      </c>
      <c r="C246" s="31">
        <v>2</v>
      </c>
      <c r="D246" s="13">
        <v>2</v>
      </c>
      <c r="E246" s="14"/>
      <c r="F246" s="71"/>
      <c r="G246" s="14">
        <f t="shared" ref="G246:G251" si="63">F246-E246</f>
        <v>0</v>
      </c>
      <c r="H246" s="14"/>
      <c r="I246" s="14">
        <f t="shared" ref="I246:I251" si="64">H246-F246</f>
        <v>0</v>
      </c>
      <c r="J246" s="14"/>
      <c r="K246" s="25">
        <f t="shared" si="55"/>
        <v>0</v>
      </c>
      <c r="L246" s="14"/>
      <c r="M246" s="34">
        <f t="shared" si="56"/>
        <v>0</v>
      </c>
      <c r="N246" s="14"/>
      <c r="O246" s="34">
        <f t="shared" si="57"/>
        <v>0</v>
      </c>
      <c r="P246" s="14"/>
      <c r="Q246" s="25">
        <f t="shared" si="58"/>
        <v>0</v>
      </c>
      <c r="R246" s="14"/>
      <c r="S246" s="34">
        <f t="shared" si="59"/>
        <v>0</v>
      </c>
      <c r="T246" s="14"/>
      <c r="U246" s="14"/>
      <c r="V246" s="14"/>
      <c r="W246" s="14"/>
      <c r="X246" s="14"/>
      <c r="Y246" s="25">
        <f t="shared" si="60"/>
        <v>0</v>
      </c>
      <c r="Z246" s="26">
        <f t="shared" si="61"/>
        <v>0</v>
      </c>
      <c r="AA246" s="26">
        <f t="shared" si="62"/>
        <v>0</v>
      </c>
      <c r="AB246"/>
      <c r="AC246" s="524"/>
    </row>
    <row r="247" spans="1:29">
      <c r="B247" s="52" t="s">
        <v>431</v>
      </c>
      <c r="C247" s="31">
        <v>55</v>
      </c>
      <c r="D247" s="24">
        <v>45</v>
      </c>
      <c r="E247" s="14">
        <v>6.5679999999999996</v>
      </c>
      <c r="F247" s="71">
        <v>10.368</v>
      </c>
      <c r="G247" s="14">
        <f t="shared" si="63"/>
        <v>3.8000000000000007</v>
      </c>
      <c r="H247" s="25">
        <v>10.368</v>
      </c>
      <c r="I247" s="14">
        <f t="shared" si="64"/>
        <v>0</v>
      </c>
      <c r="J247" s="25">
        <v>17.968</v>
      </c>
      <c r="K247" s="25">
        <f t="shared" si="55"/>
        <v>7.6</v>
      </c>
      <c r="L247" s="25">
        <v>21.768000000000001</v>
      </c>
      <c r="M247" s="34">
        <f t="shared" si="56"/>
        <v>3.8000000000000007</v>
      </c>
      <c r="N247" s="25">
        <v>25.568000000000001</v>
      </c>
      <c r="O247" s="34">
        <f t="shared" si="57"/>
        <v>3.8000000000000007</v>
      </c>
      <c r="P247" s="25">
        <v>29.367999999999999</v>
      </c>
      <c r="Q247" s="25">
        <f t="shared" si="58"/>
        <v>3.7999999999999972</v>
      </c>
      <c r="R247" s="25">
        <v>33.167999999999999</v>
      </c>
      <c r="S247" s="34">
        <f t="shared" si="59"/>
        <v>3.8000000000000007</v>
      </c>
      <c r="T247" s="25"/>
      <c r="U247" s="25"/>
      <c r="V247" s="25"/>
      <c r="W247" s="25"/>
      <c r="X247" s="25"/>
      <c r="Y247" s="25">
        <f t="shared" si="60"/>
        <v>33.167999999999999</v>
      </c>
      <c r="Z247" s="26">
        <f t="shared" si="61"/>
        <v>60.305454545454538</v>
      </c>
      <c r="AA247" s="26">
        <f t="shared" si="62"/>
        <v>73.706666666666663</v>
      </c>
      <c r="AB247"/>
    </row>
    <row r="248" spans="1:29">
      <c r="B248" s="11" t="s">
        <v>345</v>
      </c>
      <c r="C248" s="31">
        <v>35</v>
      </c>
      <c r="D248" s="13">
        <v>45</v>
      </c>
      <c r="E248" s="14">
        <v>8.3367100000000001</v>
      </c>
      <c r="F248" s="71">
        <v>10.466710000000001</v>
      </c>
      <c r="G248" s="14">
        <f t="shared" si="63"/>
        <v>2.1300000000000008</v>
      </c>
      <c r="H248" s="14">
        <v>12.59671</v>
      </c>
      <c r="I248" s="14">
        <f t="shared" si="64"/>
        <v>2.129999999999999</v>
      </c>
      <c r="J248" s="14">
        <v>14.726710000000001</v>
      </c>
      <c r="K248" s="25">
        <f t="shared" si="55"/>
        <v>2.1300000000000008</v>
      </c>
      <c r="L248" s="14">
        <v>16.85671</v>
      </c>
      <c r="M248" s="34">
        <f t="shared" si="56"/>
        <v>2.129999999999999</v>
      </c>
      <c r="N248" s="14">
        <v>18.986709999999999</v>
      </c>
      <c r="O248" s="34">
        <f t="shared" si="57"/>
        <v>2.129999999999999</v>
      </c>
      <c r="P248" s="14">
        <v>21.116710000000001</v>
      </c>
      <c r="Q248" s="25">
        <f t="shared" si="58"/>
        <v>2.1300000000000026</v>
      </c>
      <c r="R248" s="14">
        <v>23.24671</v>
      </c>
      <c r="S248" s="34">
        <f t="shared" si="59"/>
        <v>2.129999999999999</v>
      </c>
      <c r="T248" s="14"/>
      <c r="U248" s="14"/>
      <c r="V248" s="14"/>
      <c r="W248" s="14"/>
      <c r="X248" s="14"/>
      <c r="Y248" s="25">
        <f t="shared" si="60"/>
        <v>23.24671</v>
      </c>
      <c r="Z248" s="26">
        <f t="shared" si="61"/>
        <v>66.419171428571431</v>
      </c>
      <c r="AA248" s="26">
        <f t="shared" si="62"/>
        <v>51.65935555555555</v>
      </c>
      <c r="AB248"/>
    </row>
    <row r="249" spans="1:29">
      <c r="B249" s="11" t="s">
        <v>423</v>
      </c>
      <c r="C249" s="31">
        <v>1</v>
      </c>
      <c r="D249" s="13">
        <v>11</v>
      </c>
      <c r="E249" s="14">
        <v>1.10544</v>
      </c>
      <c r="F249" s="71">
        <v>1.10544</v>
      </c>
      <c r="G249" s="14">
        <f t="shared" si="63"/>
        <v>0</v>
      </c>
      <c r="H249" s="14">
        <v>2.5831</v>
      </c>
      <c r="I249" s="14">
        <f t="shared" si="64"/>
        <v>1.47766</v>
      </c>
      <c r="J249" s="14">
        <v>4.0947500000000003</v>
      </c>
      <c r="K249" s="25">
        <f t="shared" si="55"/>
        <v>1.5116500000000004</v>
      </c>
      <c r="L249" s="14">
        <v>5.6118600000000001</v>
      </c>
      <c r="M249" s="34">
        <f t="shared" si="56"/>
        <v>1.5171099999999997</v>
      </c>
      <c r="N249" s="14">
        <v>7.1235099999999996</v>
      </c>
      <c r="O249" s="34">
        <f t="shared" si="57"/>
        <v>1.5116499999999995</v>
      </c>
      <c r="P249" s="14">
        <v>8.6530699999999996</v>
      </c>
      <c r="Q249" s="25">
        <f t="shared" si="58"/>
        <v>1.52956</v>
      </c>
      <c r="R249" s="14">
        <v>10.165710000000001</v>
      </c>
      <c r="S249" s="34">
        <f t="shared" si="59"/>
        <v>1.5126400000000011</v>
      </c>
      <c r="T249" s="14"/>
      <c r="U249" s="14"/>
      <c r="V249" s="14"/>
      <c r="W249" s="14"/>
      <c r="X249" s="14"/>
      <c r="Y249" s="25">
        <f t="shared" si="60"/>
        <v>10.165710000000001</v>
      </c>
      <c r="Z249" s="26">
        <f t="shared" si="61"/>
        <v>1016.571</v>
      </c>
      <c r="AA249" s="26">
        <f t="shared" si="62"/>
        <v>92.415545454545452</v>
      </c>
      <c r="AB249"/>
    </row>
    <row r="250" spans="1:29">
      <c r="B250" s="11" t="s">
        <v>424</v>
      </c>
      <c r="C250" s="31">
        <v>14</v>
      </c>
      <c r="D250" s="13">
        <v>4</v>
      </c>
      <c r="E250" s="14"/>
      <c r="F250" s="71"/>
      <c r="G250" s="14">
        <f t="shared" si="63"/>
        <v>0</v>
      </c>
      <c r="H250" s="14"/>
      <c r="I250" s="14">
        <f t="shared" si="64"/>
        <v>0</v>
      </c>
      <c r="J250" s="14"/>
      <c r="K250" s="25">
        <f t="shared" si="55"/>
        <v>0</v>
      </c>
      <c r="L250" s="14"/>
      <c r="M250" s="34">
        <f t="shared" si="56"/>
        <v>0</v>
      </c>
      <c r="N250" s="14"/>
      <c r="O250" s="34">
        <f t="shared" si="57"/>
        <v>0</v>
      </c>
      <c r="P250" s="14"/>
      <c r="Q250" s="25">
        <f t="shared" si="58"/>
        <v>0</v>
      </c>
      <c r="R250" s="14"/>
      <c r="S250" s="34">
        <f t="shared" si="59"/>
        <v>0</v>
      </c>
      <c r="T250" s="14"/>
      <c r="U250" s="14"/>
      <c r="V250" s="14"/>
      <c r="W250" s="14"/>
      <c r="X250" s="14"/>
      <c r="Y250" s="25">
        <f t="shared" si="60"/>
        <v>0</v>
      </c>
      <c r="Z250" s="26">
        <f t="shared" si="61"/>
        <v>0</v>
      </c>
      <c r="AA250" s="26">
        <f t="shared" si="62"/>
        <v>0</v>
      </c>
      <c r="AB250"/>
    </row>
    <row r="251" spans="1:29">
      <c r="B251" s="11" t="s">
        <v>320</v>
      </c>
      <c r="C251" s="23">
        <v>6</v>
      </c>
      <c r="D251" s="23">
        <v>6</v>
      </c>
      <c r="E251" s="14"/>
      <c r="F251" s="23"/>
      <c r="G251" s="14">
        <f t="shared" si="63"/>
        <v>0</v>
      </c>
      <c r="H251" s="23"/>
      <c r="I251" s="14">
        <f t="shared" si="64"/>
        <v>0</v>
      </c>
      <c r="J251" s="23"/>
      <c r="K251" s="25">
        <f t="shared" si="55"/>
        <v>0</v>
      </c>
      <c r="L251" s="23"/>
      <c r="M251" s="34">
        <f t="shared" si="56"/>
        <v>0</v>
      </c>
      <c r="N251" s="23">
        <v>2.7225000000000001</v>
      </c>
      <c r="O251" s="34">
        <f t="shared" si="57"/>
        <v>2.7225000000000001</v>
      </c>
      <c r="P251" s="23">
        <v>2.7225000000000001</v>
      </c>
      <c r="Q251" s="25">
        <f t="shared" si="58"/>
        <v>0</v>
      </c>
      <c r="R251" s="23">
        <v>2.7225000000000001</v>
      </c>
      <c r="S251" s="34">
        <f t="shared" si="59"/>
        <v>0</v>
      </c>
      <c r="T251" s="23"/>
      <c r="U251" s="23"/>
      <c r="V251" s="23"/>
      <c r="W251" s="23"/>
      <c r="X251" s="23"/>
      <c r="Y251" s="25">
        <f t="shared" si="60"/>
        <v>2.7225000000000001</v>
      </c>
      <c r="Z251" s="26">
        <f t="shared" si="61"/>
        <v>45.375000000000007</v>
      </c>
      <c r="AA251" s="26">
        <f t="shared" si="62"/>
        <v>45.375000000000007</v>
      </c>
      <c r="AB251"/>
    </row>
    <row r="252" spans="1:29">
      <c r="B252" s="53"/>
      <c r="C252" s="54">
        <f>SUM(C245:C251)</f>
        <v>115</v>
      </c>
      <c r="D252" s="39">
        <f>SUM(D245:D251)</f>
        <v>115</v>
      </c>
      <c r="E252" s="40">
        <f>SUM(E245:E251)</f>
        <v>16.010149999999999</v>
      </c>
      <c r="F252" s="40">
        <f t="shared" ref="F252:Y252" si="65">SUM(F245:F251)</f>
        <v>21.940150000000003</v>
      </c>
      <c r="G252" s="40">
        <f t="shared" si="65"/>
        <v>5.9300000000000015</v>
      </c>
      <c r="H252" s="40">
        <f t="shared" si="65"/>
        <v>25.547809999999998</v>
      </c>
      <c r="I252" s="40">
        <f t="shared" si="65"/>
        <v>3.6076599999999992</v>
      </c>
      <c r="J252" s="40">
        <f t="shared" si="65"/>
        <v>36.789459999999998</v>
      </c>
      <c r="K252" s="40">
        <f t="shared" si="65"/>
        <v>11.24165</v>
      </c>
      <c r="L252" s="40">
        <f t="shared" si="65"/>
        <v>44.421569999999996</v>
      </c>
      <c r="M252" s="40">
        <f t="shared" si="65"/>
        <v>7.6321099999999999</v>
      </c>
      <c r="N252" s="40">
        <f t="shared" si="65"/>
        <v>54.585719999999995</v>
      </c>
      <c r="O252" s="40">
        <f t="shared" si="65"/>
        <v>10.164149999999999</v>
      </c>
      <c r="P252" s="40">
        <f t="shared" si="65"/>
        <v>62.045279999999991</v>
      </c>
      <c r="Q252" s="40">
        <f t="shared" si="65"/>
        <v>7.4595599999999997</v>
      </c>
      <c r="R252" s="40">
        <f t="shared" si="65"/>
        <v>69.487920000000003</v>
      </c>
      <c r="S252" s="40">
        <f t="shared" si="65"/>
        <v>7.4426400000000008</v>
      </c>
      <c r="T252" s="40">
        <f t="shared" si="65"/>
        <v>0</v>
      </c>
      <c r="U252" s="40">
        <f t="shared" si="65"/>
        <v>0</v>
      </c>
      <c r="V252" s="40">
        <f t="shared" si="65"/>
        <v>0</v>
      </c>
      <c r="W252" s="40">
        <f t="shared" si="65"/>
        <v>0</v>
      </c>
      <c r="X252" s="40"/>
      <c r="Y252" s="40">
        <f t="shared" si="65"/>
        <v>69.487920000000003</v>
      </c>
      <c r="Z252" s="39">
        <f t="shared" si="61"/>
        <v>60.424278260869571</v>
      </c>
      <c r="AA252" s="39">
        <f t="shared" si="62"/>
        <v>60.424278260869571</v>
      </c>
      <c r="AB252"/>
    </row>
    <row r="253" spans="1:29">
      <c r="B253" s="58"/>
      <c r="C253" s="46"/>
      <c r="D253" s="46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416"/>
      <c r="AB253"/>
    </row>
    <row r="254" spans="1:29">
      <c r="A254" s="75" t="s">
        <v>313</v>
      </c>
      <c r="B254" s="49" t="s">
        <v>25</v>
      </c>
      <c r="C254" s="474"/>
      <c r="D254" s="66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413"/>
      <c r="AB254"/>
    </row>
    <row r="255" spans="1:29">
      <c r="A255" s="75" t="s">
        <v>432</v>
      </c>
      <c r="B255" s="11" t="s">
        <v>331</v>
      </c>
      <c r="C255" s="31"/>
      <c r="D255" s="13">
        <v>1</v>
      </c>
      <c r="E255" s="14">
        <v>12</v>
      </c>
      <c r="F255" s="527">
        <v>12</v>
      </c>
      <c r="G255" s="14"/>
      <c r="H255" s="14">
        <v>12</v>
      </c>
      <c r="I255" s="14">
        <f>H255-F255</f>
        <v>0</v>
      </c>
      <c r="J255" s="14"/>
      <c r="K255" s="25">
        <f>J255-H255</f>
        <v>-12</v>
      </c>
      <c r="L255" s="14">
        <v>0.995</v>
      </c>
      <c r="M255" s="34">
        <f>L255-J255</f>
        <v>0.995</v>
      </c>
      <c r="N255" s="14">
        <v>0.995</v>
      </c>
      <c r="O255" s="34">
        <f>N255-L255</f>
        <v>0</v>
      </c>
      <c r="P255" s="14">
        <v>0.995</v>
      </c>
      <c r="Q255" s="25">
        <f>P255-N255</f>
        <v>0</v>
      </c>
      <c r="R255" s="14">
        <v>0.995</v>
      </c>
      <c r="S255" s="34">
        <f>R255-P255</f>
        <v>0</v>
      </c>
      <c r="T255" s="14"/>
      <c r="U255" s="14"/>
      <c r="V255" s="14"/>
      <c r="W255" s="14"/>
      <c r="X255" s="14"/>
      <c r="Y255" s="25">
        <f>E255+G255+I255+K255+M255+O255+Q255+S255+U255+W255</f>
        <v>0.995</v>
      </c>
      <c r="Z255" s="26" t="e">
        <f>(Y255/C255)*100</f>
        <v>#DIV/0!</v>
      </c>
      <c r="AA255" s="26">
        <f>(Y255/D255)*100</f>
        <v>99.5</v>
      </c>
      <c r="AB255"/>
    </row>
    <row r="256" spans="1:29">
      <c r="A256" s="75"/>
      <c r="B256" s="11" t="s">
        <v>320</v>
      </c>
      <c r="C256" s="31">
        <v>50</v>
      </c>
      <c r="D256" s="13">
        <v>36</v>
      </c>
      <c r="E256" s="14">
        <v>12</v>
      </c>
      <c r="F256" s="527">
        <v>12</v>
      </c>
      <c r="G256" s="14"/>
      <c r="H256" s="14">
        <v>12</v>
      </c>
      <c r="I256" s="14">
        <f>H256-F256</f>
        <v>0</v>
      </c>
      <c r="J256" s="14">
        <v>12</v>
      </c>
      <c r="K256" s="25"/>
      <c r="L256" s="14">
        <v>19.440000000000001</v>
      </c>
      <c r="M256" s="34">
        <f>L256-J256</f>
        <v>7.4400000000000013</v>
      </c>
      <c r="N256" s="14">
        <v>19.440000000000001</v>
      </c>
      <c r="O256" s="34">
        <f>N256-L256</f>
        <v>0</v>
      </c>
      <c r="P256" s="14">
        <v>19.440000000000001</v>
      </c>
      <c r="Q256" s="25">
        <f>P256-N256</f>
        <v>0</v>
      </c>
      <c r="R256" s="14">
        <v>19.440000000000001</v>
      </c>
      <c r="S256" s="34">
        <f>R256-P256</f>
        <v>0</v>
      </c>
      <c r="T256" s="14"/>
      <c r="U256" s="14"/>
      <c r="V256" s="14"/>
      <c r="W256" s="14"/>
      <c r="X256" s="14"/>
      <c r="Y256" s="25">
        <f>E256+G256+I256+K256+M256+O256+Q256+S256+U256+W256</f>
        <v>19.440000000000001</v>
      </c>
      <c r="Z256" s="26">
        <f>(Y256/C256)*100</f>
        <v>38.880000000000003</v>
      </c>
      <c r="AA256" s="26">
        <f>(Y256/D256)*100</f>
        <v>54</v>
      </c>
      <c r="AB256"/>
      <c r="AC256" s="551"/>
    </row>
    <row r="257" spans="1:29">
      <c r="A257" s="75"/>
      <c r="B257" s="17" t="s">
        <v>426</v>
      </c>
      <c r="C257" s="31"/>
      <c r="D257" s="13">
        <v>13</v>
      </c>
      <c r="E257" s="14"/>
      <c r="F257" s="527"/>
      <c r="G257" s="14"/>
      <c r="H257" s="14"/>
      <c r="I257" s="14"/>
      <c r="J257" s="14"/>
      <c r="K257" s="25">
        <f>J257-H257</f>
        <v>0</v>
      </c>
      <c r="L257" s="14">
        <v>8.1910000000000007</v>
      </c>
      <c r="M257" s="34">
        <f>L257-J257</f>
        <v>8.1910000000000007</v>
      </c>
      <c r="N257" s="14">
        <v>11.861000000000001</v>
      </c>
      <c r="O257" s="34">
        <f>N257-L257</f>
        <v>3.67</v>
      </c>
      <c r="P257" s="14">
        <v>11.861000000000001</v>
      </c>
      <c r="Q257" s="25">
        <f>P257-N257</f>
        <v>0</v>
      </c>
      <c r="R257" s="14">
        <v>11.861000000000001</v>
      </c>
      <c r="S257" s="34">
        <f>R257-P257</f>
        <v>0</v>
      </c>
      <c r="T257" s="14"/>
      <c r="U257" s="14"/>
      <c r="V257" s="14"/>
      <c r="W257" s="14"/>
      <c r="X257" s="14"/>
      <c r="Y257" s="25">
        <f>E257+G257+I257+K257+M257+O257+Q257+S257+U257+W257</f>
        <v>11.861000000000001</v>
      </c>
      <c r="Z257" s="26"/>
      <c r="AA257" s="26">
        <f>(Y257/D257)*100</f>
        <v>91.23846153846155</v>
      </c>
      <c r="AB257"/>
      <c r="AC257" s="545"/>
    </row>
    <row r="258" spans="1:29">
      <c r="B258" s="55"/>
      <c r="C258" s="39">
        <f>SUM(C255:C257)</f>
        <v>50</v>
      </c>
      <c r="D258" s="39">
        <f t="shared" ref="D258:J258" si="66">SUM(D255:D257)</f>
        <v>50</v>
      </c>
      <c r="E258" s="39">
        <f t="shared" si="66"/>
        <v>24</v>
      </c>
      <c r="F258" s="39">
        <f t="shared" si="66"/>
        <v>24</v>
      </c>
      <c r="G258" s="39">
        <f t="shared" si="66"/>
        <v>0</v>
      </c>
      <c r="H258" s="40">
        <f t="shared" si="66"/>
        <v>24</v>
      </c>
      <c r="I258" s="40">
        <f t="shared" si="66"/>
        <v>0</v>
      </c>
      <c r="J258" s="40">
        <f t="shared" si="66"/>
        <v>12</v>
      </c>
      <c r="K258" s="40">
        <f t="shared" ref="K258:W258" si="67">SUM(K255:K257)</f>
        <v>-12</v>
      </c>
      <c r="L258" s="40">
        <f t="shared" si="67"/>
        <v>28.626000000000005</v>
      </c>
      <c r="M258" s="40">
        <f t="shared" si="67"/>
        <v>16.626000000000001</v>
      </c>
      <c r="N258" s="40">
        <f t="shared" si="67"/>
        <v>32.296000000000006</v>
      </c>
      <c r="O258" s="40">
        <f t="shared" si="67"/>
        <v>3.67</v>
      </c>
      <c r="P258" s="40">
        <f t="shared" si="67"/>
        <v>32.296000000000006</v>
      </c>
      <c r="Q258" s="40">
        <f t="shared" si="67"/>
        <v>0</v>
      </c>
      <c r="R258" s="40">
        <f t="shared" si="67"/>
        <v>32.296000000000006</v>
      </c>
      <c r="S258" s="40">
        <f t="shared" si="67"/>
        <v>0</v>
      </c>
      <c r="T258" s="40">
        <f t="shared" si="67"/>
        <v>0</v>
      </c>
      <c r="U258" s="40">
        <f t="shared" si="67"/>
        <v>0</v>
      </c>
      <c r="V258" s="40">
        <f t="shared" si="67"/>
        <v>0</v>
      </c>
      <c r="W258" s="40">
        <f t="shared" si="67"/>
        <v>0</v>
      </c>
      <c r="X258" s="40"/>
      <c r="Y258" s="40">
        <f>SUM(Y255:Y257)</f>
        <v>32.296000000000006</v>
      </c>
      <c r="Z258" s="39">
        <f>(Y258/C258)*100</f>
        <v>64.592000000000013</v>
      </c>
      <c r="AA258" s="39">
        <f>(Y258/D258)*100</f>
        <v>64.592000000000013</v>
      </c>
      <c r="AB258"/>
    </row>
    <row r="259" spans="1:29">
      <c r="B259" s="55"/>
      <c r="C259" s="42"/>
      <c r="D259" s="42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7"/>
      <c r="Y259" s="417"/>
      <c r="Z259" s="42"/>
      <c r="AA259" s="42"/>
      <c r="AB259"/>
    </row>
    <row r="260" spans="1:29">
      <c r="A260" s="75" t="s">
        <v>313</v>
      </c>
      <c r="B260" s="49" t="s">
        <v>433</v>
      </c>
      <c r="C260" s="474"/>
      <c r="D260" s="66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413"/>
      <c r="AB260"/>
    </row>
    <row r="261" spans="1:29">
      <c r="A261" s="81" t="s">
        <v>553</v>
      </c>
      <c r="B261" s="11" t="s">
        <v>331</v>
      </c>
      <c r="C261" s="31">
        <v>20</v>
      </c>
      <c r="D261" s="13">
        <v>7.8</v>
      </c>
      <c r="E261" s="14"/>
      <c r="F261" s="14"/>
      <c r="G261" s="14"/>
      <c r="H261" s="14"/>
      <c r="I261" s="14">
        <f>H261-F261</f>
        <v>0</v>
      </c>
      <c r="J261" s="14">
        <v>15.862</v>
      </c>
      <c r="K261" s="25">
        <f>J261-H261</f>
        <v>15.862</v>
      </c>
      <c r="L261" s="14">
        <v>7.7320000000000002</v>
      </c>
      <c r="M261" s="34">
        <f>L261-J261</f>
        <v>-8.129999999999999</v>
      </c>
      <c r="N261" s="14">
        <v>7.7320000000000002</v>
      </c>
      <c r="O261" s="34">
        <f>N261-L261</f>
        <v>0</v>
      </c>
      <c r="P261" s="14">
        <v>7.7320000000000002</v>
      </c>
      <c r="Q261" s="25">
        <f>P261-N261</f>
        <v>0</v>
      </c>
      <c r="R261" s="14">
        <v>7.7320000000000002</v>
      </c>
      <c r="S261" s="34">
        <f>R261-P261</f>
        <v>0</v>
      </c>
      <c r="T261" s="14"/>
      <c r="U261" s="14"/>
      <c r="V261" s="14"/>
      <c r="W261" s="14"/>
      <c r="X261" s="14"/>
      <c r="Y261" s="25">
        <f>E261+G261+I261+K261+M261+O261+Q261+S261+U261+W261</f>
        <v>7.7320000000000011</v>
      </c>
      <c r="Z261" s="26">
        <f>(Y261/C261)*100</f>
        <v>38.660000000000004</v>
      </c>
      <c r="AA261" s="26">
        <f>(Y261/D261)*100</f>
        <v>99.128205128205153</v>
      </c>
      <c r="AB261"/>
    </row>
    <row r="262" spans="1:29">
      <c r="A262" s="81"/>
      <c r="B262" s="11" t="s">
        <v>345</v>
      </c>
      <c r="C262" s="31"/>
      <c r="D262" s="13">
        <v>0.55000000000000004</v>
      </c>
      <c r="E262" s="14"/>
      <c r="F262" s="14"/>
      <c r="G262" s="14"/>
      <c r="H262" s="14"/>
      <c r="I262" s="14"/>
      <c r="J262" s="14"/>
      <c r="K262" s="25"/>
      <c r="L262" s="14">
        <v>0.54900000000000004</v>
      </c>
      <c r="M262" s="34">
        <f>L262-J262</f>
        <v>0.54900000000000004</v>
      </c>
      <c r="N262" s="14">
        <v>0.54900000000000004</v>
      </c>
      <c r="O262" s="34">
        <f>N262-L262</f>
        <v>0</v>
      </c>
      <c r="P262" s="14">
        <v>0.54900000000000004</v>
      </c>
      <c r="Q262" s="25">
        <f>P262-N262</f>
        <v>0</v>
      </c>
      <c r="R262" s="14">
        <v>0.54900000000000004</v>
      </c>
      <c r="S262" s="34">
        <f>R262-P262</f>
        <v>0</v>
      </c>
      <c r="T262" s="14"/>
      <c r="U262" s="14"/>
      <c r="V262" s="14"/>
      <c r="W262" s="14"/>
      <c r="X262" s="14"/>
      <c r="Y262" s="25">
        <f>E262+G262+I262+K262+M262+O262+Q262+S262+U262+W262</f>
        <v>0.54900000000000004</v>
      </c>
      <c r="Z262" s="26" t="e">
        <f>(Y262/C262)*100</f>
        <v>#DIV/0!</v>
      </c>
      <c r="AA262" s="26">
        <f>(Y262/D262)*100</f>
        <v>99.818181818181813</v>
      </c>
      <c r="AB262"/>
      <c r="AC262" s="551"/>
    </row>
    <row r="263" spans="1:29">
      <c r="B263" s="11" t="s">
        <v>320</v>
      </c>
      <c r="C263" s="33">
        <v>400</v>
      </c>
      <c r="D263" s="23">
        <v>641.65</v>
      </c>
      <c r="E263" s="14"/>
      <c r="F263" s="34"/>
      <c r="G263" s="34"/>
      <c r="H263" s="34"/>
      <c r="I263" s="14">
        <f>H263-F263</f>
        <v>0</v>
      </c>
      <c r="J263" s="34">
        <v>133.09800000000001</v>
      </c>
      <c r="K263" s="25">
        <f>J263-H263</f>
        <v>133.09800000000001</v>
      </c>
      <c r="L263" s="34">
        <v>528.84400000000005</v>
      </c>
      <c r="M263" s="34">
        <f>L263-J263</f>
        <v>395.74600000000004</v>
      </c>
      <c r="N263" s="34">
        <v>618.75546999999995</v>
      </c>
      <c r="O263" s="34">
        <f>N263-L263</f>
        <v>89.911469999999895</v>
      </c>
      <c r="P263" s="34">
        <v>618.75546999999995</v>
      </c>
      <c r="Q263" s="25">
        <f>P263-N263</f>
        <v>0</v>
      </c>
      <c r="R263" s="34">
        <v>632.05547000000001</v>
      </c>
      <c r="S263" s="34">
        <f>R263-P263</f>
        <v>13.300000000000068</v>
      </c>
      <c r="T263" s="34"/>
      <c r="U263" s="34"/>
      <c r="V263" s="34"/>
      <c r="W263" s="34"/>
      <c r="X263" s="34"/>
      <c r="Y263" s="25">
        <f>E263+G263+I263+K263+M263+O263+Q263+S263+U263+W263</f>
        <v>632.05547000000001</v>
      </c>
      <c r="Z263" s="26">
        <f>(Y263/C263)*100</f>
        <v>158.0138675</v>
      </c>
      <c r="AA263" s="26">
        <f>(Y263/D263)*100</f>
        <v>98.504709732720343</v>
      </c>
      <c r="AB263"/>
    </row>
    <row r="264" spans="1:29">
      <c r="B264" s="11" t="s">
        <v>426</v>
      </c>
      <c r="C264" s="31">
        <v>80</v>
      </c>
      <c r="D264" s="13">
        <v>0</v>
      </c>
      <c r="E264" s="14"/>
      <c r="F264" s="14"/>
      <c r="G264" s="14"/>
      <c r="H264" s="14"/>
      <c r="I264" s="14">
        <f>H264-F264</f>
        <v>0</v>
      </c>
      <c r="J264" s="14">
        <v>8.0890000000000004</v>
      </c>
      <c r="K264" s="25">
        <f>J264-H264</f>
        <v>8.0890000000000004</v>
      </c>
      <c r="L264" s="14"/>
      <c r="M264" s="34">
        <f>L264-J264</f>
        <v>-8.0890000000000004</v>
      </c>
      <c r="N264" s="14"/>
      <c r="O264" s="34">
        <f>N264-L264</f>
        <v>0</v>
      </c>
      <c r="P264" s="14"/>
      <c r="Q264" s="25">
        <f>P264-N264</f>
        <v>0</v>
      </c>
      <c r="R264" s="14"/>
      <c r="S264" s="34">
        <f>R264-P264</f>
        <v>0</v>
      </c>
      <c r="T264" s="14"/>
      <c r="U264" s="14"/>
      <c r="V264" s="14"/>
      <c r="W264" s="14"/>
      <c r="X264" s="14"/>
      <c r="Y264" s="25">
        <f>E264+G264+I264+K264+M264+O264+Q264+S264+U264+W264</f>
        <v>0</v>
      </c>
      <c r="Z264" s="26">
        <f>(Y264/C264)*100</f>
        <v>0</v>
      </c>
      <c r="AA264" s="26" t="e">
        <f>(Y264/D264)*100</f>
        <v>#DIV/0!</v>
      </c>
      <c r="AB264"/>
    </row>
    <row r="265" spans="1:29">
      <c r="B265" s="11" t="s">
        <v>429</v>
      </c>
      <c r="C265" s="31"/>
      <c r="D265" s="13"/>
      <c r="E265" s="14"/>
      <c r="F265" s="14"/>
      <c r="G265" s="14"/>
      <c r="H265" s="14"/>
      <c r="I265" s="14">
        <f>H265-F265</f>
        <v>0</v>
      </c>
      <c r="J265" s="14"/>
      <c r="K265" s="25">
        <f>J265-H265</f>
        <v>0</v>
      </c>
      <c r="L265" s="14"/>
      <c r="M265" s="34">
        <f>L265-J265</f>
        <v>0</v>
      </c>
      <c r="N265" s="14"/>
      <c r="O265" s="34">
        <f>N265-L265</f>
        <v>0</v>
      </c>
      <c r="P265" s="14"/>
      <c r="Q265" s="25">
        <f>P265-N265</f>
        <v>0</v>
      </c>
      <c r="R265" s="14"/>
      <c r="S265" s="34">
        <f>R265-P265</f>
        <v>0</v>
      </c>
      <c r="T265" s="14"/>
      <c r="U265" s="14"/>
      <c r="V265" s="14"/>
      <c r="W265" s="14"/>
      <c r="X265" s="14"/>
      <c r="Y265" s="25"/>
      <c r="Z265" s="26"/>
      <c r="AA265" s="26"/>
      <c r="AB265"/>
    </row>
    <row r="266" spans="1:29">
      <c r="B266" s="55"/>
      <c r="C266" s="39">
        <f>SUM(C261:C265)</f>
        <v>500</v>
      </c>
      <c r="D266" s="39">
        <f>SUM(D261:D265)</f>
        <v>650</v>
      </c>
      <c r="E266" s="40">
        <f>SUM(E261:E265)</f>
        <v>0</v>
      </c>
      <c r="F266" s="40">
        <f t="shared" ref="F266:Y266" si="68">SUM(F261:F265)</f>
        <v>0</v>
      </c>
      <c r="G266" s="40">
        <f t="shared" si="68"/>
        <v>0</v>
      </c>
      <c r="H266" s="40">
        <f t="shared" si="68"/>
        <v>0</v>
      </c>
      <c r="I266" s="40">
        <f t="shared" si="68"/>
        <v>0</v>
      </c>
      <c r="J266" s="40">
        <f t="shared" si="68"/>
        <v>157.04900000000001</v>
      </c>
      <c r="K266" s="40">
        <f t="shared" si="68"/>
        <v>157.04900000000001</v>
      </c>
      <c r="L266" s="40">
        <f t="shared" si="68"/>
        <v>537.125</v>
      </c>
      <c r="M266" s="40">
        <f t="shared" si="68"/>
        <v>380.07600000000002</v>
      </c>
      <c r="N266" s="40">
        <f t="shared" si="68"/>
        <v>627.03646999999989</v>
      </c>
      <c r="O266" s="40">
        <f t="shared" si="68"/>
        <v>89.911469999999895</v>
      </c>
      <c r="P266" s="40">
        <f t="shared" si="68"/>
        <v>627.03646999999989</v>
      </c>
      <c r="Q266" s="40">
        <f t="shared" si="68"/>
        <v>0</v>
      </c>
      <c r="R266" s="40">
        <f t="shared" si="68"/>
        <v>640.33646999999996</v>
      </c>
      <c r="S266" s="40">
        <f t="shared" si="68"/>
        <v>13.300000000000068</v>
      </c>
      <c r="T266" s="40">
        <f t="shared" si="68"/>
        <v>0</v>
      </c>
      <c r="U266" s="40">
        <f t="shared" si="68"/>
        <v>0</v>
      </c>
      <c r="V266" s="40">
        <f t="shared" si="68"/>
        <v>0</v>
      </c>
      <c r="W266" s="40">
        <f t="shared" si="68"/>
        <v>0</v>
      </c>
      <c r="X266" s="40"/>
      <c r="Y266" s="40">
        <f t="shared" si="68"/>
        <v>640.33646999999996</v>
      </c>
      <c r="Z266" s="39">
        <f>(Y266/C266)*100</f>
        <v>128.06729399999998</v>
      </c>
      <c r="AA266" s="39">
        <f>(Y266/D266)*100</f>
        <v>98.51330307692308</v>
      </c>
      <c r="AB266"/>
    </row>
    <row r="267" spans="1:29">
      <c r="B267" s="55"/>
      <c r="C267" s="38"/>
      <c r="D267" s="38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/>
      <c r="AC267" s="524"/>
    </row>
    <row r="268" spans="1:29">
      <c r="A268" s="75" t="s">
        <v>313</v>
      </c>
      <c r="B268" s="49" t="s">
        <v>434</v>
      </c>
      <c r="C268" s="474"/>
      <c r="D268" s="66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413"/>
      <c r="AB268"/>
      <c r="AC268" s="524"/>
    </row>
    <row r="269" spans="1:29">
      <c r="A269" s="81" t="s">
        <v>554</v>
      </c>
      <c r="B269" s="17" t="s">
        <v>611</v>
      </c>
      <c r="C269" s="33">
        <v>100</v>
      </c>
      <c r="D269" s="23">
        <v>21</v>
      </c>
      <c r="E269" s="14">
        <v>20.268000000000001</v>
      </c>
      <c r="F269" s="14">
        <v>20.268000000000001</v>
      </c>
      <c r="G269" s="34"/>
      <c r="H269" s="34">
        <v>20.268000000000001</v>
      </c>
      <c r="I269" s="34">
        <f>H269-F269</f>
        <v>0</v>
      </c>
      <c r="J269" s="34">
        <v>20.268000000000001</v>
      </c>
      <c r="K269" s="25">
        <f>J269-H269</f>
        <v>0</v>
      </c>
      <c r="L269" s="34">
        <v>20.268000000000001</v>
      </c>
      <c r="M269" s="34">
        <f>L269-J269</f>
        <v>0</v>
      </c>
      <c r="N269" s="34">
        <v>20.268000000000001</v>
      </c>
      <c r="O269" s="34">
        <f>N269-L269</f>
        <v>0</v>
      </c>
      <c r="P269" s="34">
        <v>20.268000000000001</v>
      </c>
      <c r="Q269" s="25">
        <f>P269-N269</f>
        <v>0</v>
      </c>
      <c r="R269" s="34">
        <v>20.268000000000001</v>
      </c>
      <c r="S269" s="34">
        <f>R269-P269</f>
        <v>0</v>
      </c>
      <c r="T269" s="34"/>
      <c r="U269" s="34"/>
      <c r="V269" s="34"/>
      <c r="W269" s="34"/>
      <c r="X269" s="34"/>
      <c r="Y269" s="25">
        <f>E269+G269+I269+K269+M269+O269+Q269+S269+U269+W269</f>
        <v>20.268000000000001</v>
      </c>
      <c r="Z269" s="26">
        <f>(Y269/C269)*100</f>
        <v>20.268000000000001</v>
      </c>
      <c r="AA269" s="26">
        <f>(Y269/D269)*100</f>
        <v>96.51428571428572</v>
      </c>
      <c r="AB269"/>
    </row>
    <row r="270" spans="1:29">
      <c r="A270" s="81"/>
      <c r="B270" s="11" t="s">
        <v>331</v>
      </c>
      <c r="C270" s="33"/>
      <c r="D270" s="23">
        <v>17</v>
      </c>
      <c r="E270" s="14"/>
      <c r="F270" s="14"/>
      <c r="G270" s="34"/>
      <c r="H270" s="34"/>
      <c r="I270" s="34"/>
      <c r="J270" s="34">
        <v>1.3660000000000001</v>
      </c>
      <c r="K270" s="25">
        <f>J270-H270</f>
        <v>1.3660000000000001</v>
      </c>
      <c r="L270" s="34">
        <v>9.4960000000000004</v>
      </c>
      <c r="M270" s="34">
        <f>L270-J270</f>
        <v>8.1300000000000008</v>
      </c>
      <c r="N270" s="34">
        <v>9.4960000000000004</v>
      </c>
      <c r="O270" s="34">
        <f>N270-L270</f>
        <v>0</v>
      </c>
      <c r="P270" s="34">
        <v>9.4960000000000004</v>
      </c>
      <c r="Q270" s="25">
        <f>P270-N270</f>
        <v>0</v>
      </c>
      <c r="R270" s="34">
        <v>9.4960000000000004</v>
      </c>
      <c r="S270" s="34">
        <f>R270-P270</f>
        <v>0</v>
      </c>
      <c r="T270" s="34"/>
      <c r="U270" s="34"/>
      <c r="V270" s="34"/>
      <c r="W270" s="34"/>
      <c r="X270" s="34"/>
      <c r="Y270" s="25">
        <f>E270+G270+I270+K270+M270+O270+Q270+S270+U270+W270</f>
        <v>9.4960000000000004</v>
      </c>
      <c r="Z270" s="26"/>
      <c r="AA270" s="26">
        <f>(Y270/D270)*100</f>
        <v>55.858823529411772</v>
      </c>
      <c r="AB270"/>
      <c r="AC270" s="524"/>
    </row>
    <row r="271" spans="1:29">
      <c r="A271" s="81"/>
      <c r="B271" s="17" t="s">
        <v>610</v>
      </c>
      <c r="C271" s="23"/>
      <c r="D271" s="23">
        <v>60</v>
      </c>
      <c r="E271" s="14"/>
      <c r="F271" s="71"/>
      <c r="G271" s="34"/>
      <c r="H271" s="34"/>
      <c r="I271" s="34">
        <f>H271-F271</f>
        <v>0</v>
      </c>
      <c r="J271" s="34">
        <v>13.478999999999999</v>
      </c>
      <c r="K271" s="25">
        <f>J271-H271</f>
        <v>13.478999999999999</v>
      </c>
      <c r="L271" s="34">
        <v>36.265999999999998</v>
      </c>
      <c r="M271" s="34">
        <f>L271-J271</f>
        <v>22.786999999999999</v>
      </c>
      <c r="N271" s="34">
        <v>36.265999999999998</v>
      </c>
      <c r="O271" s="34">
        <f>N271-L271</f>
        <v>0</v>
      </c>
      <c r="P271" s="34">
        <v>36.265999999999998</v>
      </c>
      <c r="Q271" s="25">
        <f>P271-N271</f>
        <v>0</v>
      </c>
      <c r="R271" s="34">
        <v>36.265999999999998</v>
      </c>
      <c r="S271" s="34">
        <f>R271-P271</f>
        <v>0</v>
      </c>
      <c r="T271" s="34"/>
      <c r="U271" s="34"/>
      <c r="V271" s="34"/>
      <c r="W271" s="34"/>
      <c r="X271" s="34"/>
      <c r="Y271" s="25">
        <f>E271+G271+I271+K271+M271+O271+Q271+S271+U271+W271</f>
        <v>36.265999999999998</v>
      </c>
      <c r="Z271" s="26"/>
      <c r="AA271" s="26">
        <f>(Y271/D271)*100</f>
        <v>60.443333333333328</v>
      </c>
      <c r="AB271"/>
    </row>
    <row r="272" spans="1:29">
      <c r="A272" s="81"/>
      <c r="B272" s="11" t="s">
        <v>426</v>
      </c>
      <c r="C272" s="23"/>
      <c r="D272" s="23">
        <v>2</v>
      </c>
      <c r="E272" s="14"/>
      <c r="F272" s="71"/>
      <c r="G272" s="34"/>
      <c r="H272" s="34"/>
      <c r="I272" s="34"/>
      <c r="J272" s="34">
        <v>1.417</v>
      </c>
      <c r="K272" s="25">
        <f>J272-H272</f>
        <v>1.417</v>
      </c>
      <c r="L272" s="34">
        <v>1.417</v>
      </c>
      <c r="M272" s="34">
        <f>L272-J272</f>
        <v>0</v>
      </c>
      <c r="N272" s="34">
        <v>1.417</v>
      </c>
      <c r="O272" s="34">
        <f>N272-L272</f>
        <v>0</v>
      </c>
      <c r="P272" s="34">
        <v>1.417</v>
      </c>
      <c r="Q272" s="25">
        <f>P272-N272</f>
        <v>0</v>
      </c>
      <c r="R272" s="34">
        <v>1.417</v>
      </c>
      <c r="S272" s="34">
        <f>R272-P272</f>
        <v>0</v>
      </c>
      <c r="T272" s="34"/>
      <c r="U272" s="34"/>
      <c r="V272" s="34"/>
      <c r="W272" s="34"/>
      <c r="X272" s="34"/>
      <c r="Y272" s="25">
        <f>E272+G272+I272+K272+M272+O272+Q272+S272+U272+W272</f>
        <v>1.417</v>
      </c>
      <c r="Z272" s="26"/>
      <c r="AA272" s="26">
        <f>(Y272/D272)*100</f>
        <v>70.850000000000009</v>
      </c>
      <c r="AB272"/>
      <c r="AC272" s="545"/>
    </row>
    <row r="273" spans="1:32">
      <c r="B273" s="55"/>
      <c r="C273" s="39">
        <f>SUM(C269:C272)</f>
        <v>100</v>
      </c>
      <c r="D273" s="39">
        <f>SUM(D269:D272)</f>
        <v>100</v>
      </c>
      <c r="E273" s="39">
        <f t="shared" ref="E273:W273" si="69">SUM(E269:E271)</f>
        <v>20.268000000000001</v>
      </c>
      <c r="F273" s="39">
        <f t="shared" si="69"/>
        <v>20.268000000000001</v>
      </c>
      <c r="G273" s="39">
        <f t="shared" si="69"/>
        <v>0</v>
      </c>
      <c r="H273" s="40">
        <f t="shared" si="69"/>
        <v>20.268000000000001</v>
      </c>
      <c r="I273" s="40">
        <f t="shared" si="69"/>
        <v>0</v>
      </c>
      <c r="J273" s="40">
        <f>SUM(J269:J272)</f>
        <v>36.53</v>
      </c>
      <c r="K273" s="40">
        <f t="shared" si="69"/>
        <v>14.844999999999999</v>
      </c>
      <c r="L273" s="39">
        <f>SUM(L269:L272)</f>
        <v>67.447000000000003</v>
      </c>
      <c r="M273" s="39">
        <f t="shared" si="69"/>
        <v>30.917000000000002</v>
      </c>
      <c r="N273" s="39">
        <f>SUM(N269:N272)</f>
        <v>67.447000000000003</v>
      </c>
      <c r="O273" s="39">
        <f t="shared" si="69"/>
        <v>0</v>
      </c>
      <c r="P273" s="39">
        <f>SUM(P269:P272)</f>
        <v>67.447000000000003</v>
      </c>
      <c r="Q273" s="39">
        <f t="shared" si="69"/>
        <v>0</v>
      </c>
      <c r="R273" s="40">
        <f>SUM(R269:R272)</f>
        <v>67.447000000000003</v>
      </c>
      <c r="S273" s="39">
        <f t="shared" si="69"/>
        <v>0</v>
      </c>
      <c r="T273" s="39">
        <f t="shared" si="69"/>
        <v>0</v>
      </c>
      <c r="U273" s="39">
        <f t="shared" si="69"/>
        <v>0</v>
      </c>
      <c r="V273" s="39">
        <f t="shared" si="69"/>
        <v>0</v>
      </c>
      <c r="W273" s="39">
        <f t="shared" si="69"/>
        <v>0</v>
      </c>
      <c r="X273" s="39"/>
      <c r="Y273" s="40">
        <f>SUM(Y269:Y272)</f>
        <v>67.447000000000003</v>
      </c>
      <c r="Z273" s="39">
        <f>(Y273/C273)*100</f>
        <v>67.447000000000003</v>
      </c>
      <c r="AA273" s="39">
        <f>(Y273/D273)*100</f>
        <v>67.447000000000003</v>
      </c>
      <c r="AB273"/>
    </row>
    <row r="274" spans="1:32">
      <c r="B274" s="55"/>
      <c r="C274" s="46"/>
      <c r="D274" s="4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/>
      <c r="AC274" s="524">
        <f>AC282-3107.32932</f>
        <v>0</v>
      </c>
    </row>
    <row r="275" spans="1:32">
      <c r="A275" s="75" t="s">
        <v>313</v>
      </c>
      <c r="B275" s="49" t="s">
        <v>435</v>
      </c>
      <c r="C275" s="474"/>
      <c r="D275" s="66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413"/>
      <c r="AB275"/>
    </row>
    <row r="276" spans="1:32">
      <c r="A276" s="81" t="s">
        <v>555</v>
      </c>
      <c r="B276" s="17" t="s">
        <v>638</v>
      </c>
      <c r="C276" s="33">
        <v>70</v>
      </c>
      <c r="D276" s="23">
        <v>70</v>
      </c>
      <c r="E276" s="14"/>
      <c r="F276" s="34"/>
      <c r="G276" s="34"/>
      <c r="H276" s="34"/>
      <c r="I276" s="34">
        <f>H276-F276</f>
        <v>0</v>
      </c>
      <c r="J276" s="34"/>
      <c r="K276" s="25">
        <f>J276-H276</f>
        <v>0</v>
      </c>
      <c r="L276" s="34">
        <v>70</v>
      </c>
      <c r="M276" s="34">
        <f>L276-J276</f>
        <v>70</v>
      </c>
      <c r="N276" s="34">
        <v>70</v>
      </c>
      <c r="O276" s="34">
        <f>N276-L276</f>
        <v>0</v>
      </c>
      <c r="P276" s="34">
        <v>70</v>
      </c>
      <c r="Q276" s="25">
        <f>P276-N276</f>
        <v>0</v>
      </c>
      <c r="R276" s="34">
        <v>70</v>
      </c>
      <c r="S276" s="34">
        <f>R276-P276</f>
        <v>0</v>
      </c>
      <c r="T276" s="34"/>
      <c r="U276" s="34"/>
      <c r="V276" s="34"/>
      <c r="W276" s="34"/>
      <c r="X276" s="34"/>
      <c r="Y276" s="25">
        <f>E276+G276+I276+K276+M276+O276+Q276+S276+U276+W276</f>
        <v>70</v>
      </c>
      <c r="Z276" s="26">
        <f>(Y276/C276)*100</f>
        <v>100</v>
      </c>
      <c r="AA276" s="26">
        <f>(Y276/D276)*100</f>
        <v>100</v>
      </c>
      <c r="AB276"/>
    </row>
    <row r="277" spans="1:32">
      <c r="B277" s="55"/>
      <c r="C277" s="39">
        <f>SUM(C276:C276)</f>
        <v>70</v>
      </c>
      <c r="D277" s="39">
        <f>SUM(D276:D276)</f>
        <v>70</v>
      </c>
      <c r="E277" s="40">
        <f>SUM(E276:E276)</f>
        <v>0</v>
      </c>
      <c r="F277" s="40">
        <f t="shared" ref="F277:Y277" si="70">SUM(F276:F276)</f>
        <v>0</v>
      </c>
      <c r="G277" s="40">
        <f t="shared" si="70"/>
        <v>0</v>
      </c>
      <c r="H277" s="40">
        <f t="shared" si="70"/>
        <v>0</v>
      </c>
      <c r="I277" s="40">
        <f t="shared" si="70"/>
        <v>0</v>
      </c>
      <c r="J277" s="40">
        <f t="shared" si="70"/>
        <v>0</v>
      </c>
      <c r="K277" s="40">
        <f t="shared" si="70"/>
        <v>0</v>
      </c>
      <c r="L277" s="40">
        <f t="shared" si="70"/>
        <v>70</v>
      </c>
      <c r="M277" s="40">
        <f t="shared" si="70"/>
        <v>70</v>
      </c>
      <c r="N277" s="40">
        <f t="shared" si="70"/>
        <v>70</v>
      </c>
      <c r="O277" s="40">
        <f t="shared" si="70"/>
        <v>0</v>
      </c>
      <c r="P277" s="40">
        <f t="shared" si="70"/>
        <v>70</v>
      </c>
      <c r="Q277" s="40">
        <f t="shared" si="70"/>
        <v>0</v>
      </c>
      <c r="R277" s="40">
        <f t="shared" si="70"/>
        <v>70</v>
      </c>
      <c r="S277" s="40">
        <f t="shared" si="70"/>
        <v>0</v>
      </c>
      <c r="T277" s="40">
        <f t="shared" si="70"/>
        <v>0</v>
      </c>
      <c r="U277" s="40">
        <f t="shared" si="70"/>
        <v>0</v>
      </c>
      <c r="V277" s="40">
        <f t="shared" si="70"/>
        <v>0</v>
      </c>
      <c r="W277" s="40">
        <f t="shared" si="70"/>
        <v>0</v>
      </c>
      <c r="X277" s="40"/>
      <c r="Y277" s="40">
        <f t="shared" si="70"/>
        <v>70</v>
      </c>
      <c r="Z277" s="39">
        <f>(Y277/C277)*100</f>
        <v>100</v>
      </c>
      <c r="AA277" s="39">
        <f>(Y277/D277)*100</f>
        <v>100</v>
      </c>
      <c r="AB277"/>
    </row>
    <row r="278" spans="1:32">
      <c r="B278" s="18" t="s">
        <v>10</v>
      </c>
      <c r="C278" s="19">
        <f>C242+C252+C258+C266+C273+C277</f>
        <v>3460</v>
      </c>
      <c r="D278" s="19">
        <f t="shared" ref="D278:Y278" si="71">D242+D252+D258+D266+D273+D277</f>
        <v>3460</v>
      </c>
      <c r="E278" s="19">
        <f t="shared" si="71"/>
        <v>613.53272000000004</v>
      </c>
      <c r="F278" s="19">
        <f t="shared" si="71"/>
        <v>779.36803000000009</v>
      </c>
      <c r="G278" s="19">
        <f t="shared" si="71"/>
        <v>165.83530999999999</v>
      </c>
      <c r="H278" s="19">
        <f t="shared" si="71"/>
        <v>970.51658000000009</v>
      </c>
      <c r="I278" s="19">
        <f t="shared" si="71"/>
        <v>191.14854999999997</v>
      </c>
      <c r="J278" s="19">
        <f t="shared" si="71"/>
        <v>1331.0791400000001</v>
      </c>
      <c r="K278" s="19">
        <f t="shared" si="71"/>
        <v>359.14556000000005</v>
      </c>
      <c r="L278" s="20">
        <f t="shared" si="71"/>
        <v>2096.0425300000002</v>
      </c>
      <c r="M278" s="20">
        <f t="shared" si="71"/>
        <v>764.96339</v>
      </c>
      <c r="N278" s="20">
        <f t="shared" si="71"/>
        <v>2409.3649800000007</v>
      </c>
      <c r="O278" s="20">
        <f t="shared" si="71"/>
        <v>313.32244999999989</v>
      </c>
      <c r="P278" s="76">
        <f t="shared" si="71"/>
        <v>2665.0862800000004</v>
      </c>
      <c r="Q278" s="20">
        <f t="shared" si="71"/>
        <v>255.72129999999996</v>
      </c>
      <c r="R278" s="76">
        <f t="shared" si="71"/>
        <v>3079.4233199999999</v>
      </c>
      <c r="S278" s="76">
        <f t="shared" si="71"/>
        <v>414.33704000000006</v>
      </c>
      <c r="T278" s="20">
        <f t="shared" si="71"/>
        <v>0</v>
      </c>
      <c r="U278" s="20">
        <f t="shared" si="71"/>
        <v>0</v>
      </c>
      <c r="V278" s="20">
        <f t="shared" si="71"/>
        <v>0</v>
      </c>
      <c r="W278" s="20">
        <f t="shared" si="71"/>
        <v>0</v>
      </c>
      <c r="X278" s="20"/>
      <c r="Y278" s="76">
        <f t="shared" si="71"/>
        <v>3079.4233199999999</v>
      </c>
      <c r="Z278" s="18">
        <f>(Y278/C278)*100</f>
        <v>89.000673988439303</v>
      </c>
      <c r="AA278" s="18">
        <f>(Y278/D278)*100</f>
        <v>89.000673988439303</v>
      </c>
      <c r="AB278"/>
    </row>
    <row r="279" spans="1:32">
      <c r="B279" s="55"/>
      <c r="C279" s="42"/>
      <c r="D279" s="42"/>
      <c r="E279" s="417"/>
      <c r="F279" s="417"/>
      <c r="G279" s="417"/>
      <c r="H279" s="417"/>
      <c r="I279" s="417"/>
      <c r="J279" s="417"/>
      <c r="K279" s="417"/>
      <c r="L279" s="417"/>
      <c r="M279" s="417"/>
      <c r="N279" s="417"/>
      <c r="O279" s="417"/>
      <c r="P279" s="417"/>
      <c r="Q279" s="417"/>
      <c r="R279" s="417"/>
      <c r="S279" s="417"/>
      <c r="T279" s="417"/>
      <c r="U279" s="417"/>
      <c r="V279" s="417"/>
      <c r="W279" s="417"/>
      <c r="X279" s="417"/>
      <c r="Y279" s="417"/>
      <c r="Z279" s="42"/>
      <c r="AA279" s="42"/>
      <c r="AB279"/>
    </row>
    <row r="280" spans="1:32" ht="43.5" customHeight="1">
      <c r="A280" s="75" t="s">
        <v>313</v>
      </c>
      <c r="B280" s="490" t="s">
        <v>572</v>
      </c>
      <c r="C280" s="507" t="s">
        <v>524</v>
      </c>
      <c r="D280" s="508" t="s">
        <v>315</v>
      </c>
      <c r="E280" s="393" t="s">
        <v>523</v>
      </c>
      <c r="F280" s="393" t="s">
        <v>525</v>
      </c>
      <c r="G280" s="460" t="s">
        <v>534</v>
      </c>
      <c r="H280" s="393" t="s">
        <v>526</v>
      </c>
      <c r="I280" s="460" t="s">
        <v>535</v>
      </c>
      <c r="J280" s="393" t="s">
        <v>527</v>
      </c>
      <c r="K280" s="460" t="s">
        <v>536</v>
      </c>
      <c r="L280" s="393" t="s">
        <v>528</v>
      </c>
      <c r="M280" s="460" t="s">
        <v>537</v>
      </c>
      <c r="N280" s="393" t="s">
        <v>529</v>
      </c>
      <c r="O280" s="460" t="s">
        <v>538</v>
      </c>
      <c r="P280" s="393" t="s">
        <v>530</v>
      </c>
      <c r="Q280" s="460" t="s">
        <v>539</v>
      </c>
      <c r="R280" s="393" t="s">
        <v>531</v>
      </c>
      <c r="S280" s="460" t="s">
        <v>540</v>
      </c>
      <c r="T280" s="393" t="s">
        <v>532</v>
      </c>
      <c r="U280" s="460" t="s">
        <v>541</v>
      </c>
      <c r="V280" s="393" t="s">
        <v>533</v>
      </c>
      <c r="W280" s="460" t="s">
        <v>542</v>
      </c>
      <c r="X280" s="10"/>
      <c r="Y280" s="393" t="s">
        <v>543</v>
      </c>
      <c r="Z280" s="492"/>
      <c r="AA280" s="493"/>
      <c r="AB280"/>
      <c r="AC280" s="495"/>
      <c r="AE280" s="496"/>
      <c r="AF280" s="497"/>
    </row>
    <row r="281" spans="1:32" ht="49.5" customHeight="1">
      <c r="A281" s="2" t="s">
        <v>604</v>
      </c>
      <c r="B281" s="491" t="s">
        <v>571</v>
      </c>
      <c r="C281" s="23">
        <v>100</v>
      </c>
      <c r="D281" s="23">
        <v>100</v>
      </c>
      <c r="E281" s="34">
        <v>27.905999999999999</v>
      </c>
      <c r="F281" s="34">
        <v>27.905999999999999</v>
      </c>
      <c r="G281" s="34"/>
      <c r="H281" s="34">
        <v>27.905999999999999</v>
      </c>
      <c r="I281" s="34">
        <f>H281-F281</f>
        <v>0</v>
      </c>
      <c r="J281" s="34">
        <v>27.905999999999999</v>
      </c>
      <c r="K281" s="25">
        <f>J281-H281</f>
        <v>0</v>
      </c>
      <c r="L281" s="34">
        <v>27.905999999999999</v>
      </c>
      <c r="M281" s="34">
        <f>L281-J281</f>
        <v>0</v>
      </c>
      <c r="N281" s="34">
        <v>27.905999999999999</v>
      </c>
      <c r="O281" s="34">
        <f>N281-L281</f>
        <v>0</v>
      </c>
      <c r="P281" s="34">
        <v>27.905999999999999</v>
      </c>
      <c r="Q281" s="25">
        <f>P281-N281</f>
        <v>0</v>
      </c>
      <c r="R281" s="34">
        <v>27.905999999999999</v>
      </c>
      <c r="S281" s="34">
        <f>R281-P281</f>
        <v>0</v>
      </c>
      <c r="T281" s="34"/>
      <c r="U281" s="34"/>
      <c r="V281" s="34"/>
      <c r="W281" s="34"/>
      <c r="X281" s="34"/>
      <c r="Y281" s="25">
        <f>E281+G281+I281+K281+M281+O281+Q281+S281+U281+W281</f>
        <v>27.905999999999999</v>
      </c>
      <c r="Z281" s="494"/>
      <c r="AA281" s="494"/>
      <c r="AB281"/>
      <c r="AC281" s="501" t="s">
        <v>573</v>
      </c>
      <c r="AE281" s="497"/>
      <c r="AF281" s="497"/>
    </row>
    <row r="282" spans="1:32" ht="14.25" customHeight="1">
      <c r="B282" s="41" t="s">
        <v>10</v>
      </c>
      <c r="C282" s="42">
        <f>C281</f>
        <v>100</v>
      </c>
      <c r="D282" s="42">
        <f>D281</f>
        <v>100</v>
      </c>
      <c r="E282" s="417">
        <f>SUM(E281)</f>
        <v>27.905999999999999</v>
      </c>
      <c r="F282" s="417">
        <f t="shared" ref="F282:W282" si="72">SUM(F281)</f>
        <v>27.905999999999999</v>
      </c>
      <c r="G282" s="417">
        <f t="shared" si="72"/>
        <v>0</v>
      </c>
      <c r="H282" s="417">
        <f t="shared" si="72"/>
        <v>27.905999999999999</v>
      </c>
      <c r="I282" s="417">
        <f t="shared" si="72"/>
        <v>0</v>
      </c>
      <c r="J282" s="417">
        <f t="shared" si="72"/>
        <v>27.905999999999999</v>
      </c>
      <c r="K282" s="417">
        <f t="shared" si="72"/>
        <v>0</v>
      </c>
      <c r="L282" s="417">
        <f t="shared" si="72"/>
        <v>27.905999999999999</v>
      </c>
      <c r="M282" s="417">
        <f t="shared" si="72"/>
        <v>0</v>
      </c>
      <c r="N282" s="417">
        <f t="shared" si="72"/>
        <v>27.905999999999999</v>
      </c>
      <c r="O282" s="417">
        <f t="shared" si="72"/>
        <v>0</v>
      </c>
      <c r="P282" s="417">
        <f t="shared" si="72"/>
        <v>27.905999999999999</v>
      </c>
      <c r="Q282" s="417">
        <f t="shared" si="72"/>
        <v>0</v>
      </c>
      <c r="R282" s="417">
        <f t="shared" si="72"/>
        <v>27.905999999999999</v>
      </c>
      <c r="S282" s="417">
        <f t="shared" si="72"/>
        <v>0</v>
      </c>
      <c r="T282" s="417">
        <f t="shared" si="72"/>
        <v>0</v>
      </c>
      <c r="U282" s="417">
        <f t="shared" si="72"/>
        <v>0</v>
      </c>
      <c r="V282" s="417">
        <f t="shared" si="72"/>
        <v>0</v>
      </c>
      <c r="W282" s="417">
        <f t="shared" si="72"/>
        <v>0</v>
      </c>
      <c r="X282" s="417"/>
      <c r="Y282" s="417">
        <f>SUM(Y281)</f>
        <v>27.905999999999999</v>
      </c>
      <c r="Z282" s="41"/>
      <c r="AA282" s="41"/>
      <c r="AB282"/>
      <c r="AC282" s="499">
        <f>Y242+Y252+Y258+Y266+Y273+Y277+Y282</f>
        <v>3107.3293199999998</v>
      </c>
      <c r="AE282" s="417"/>
      <c r="AF282" s="417"/>
    </row>
    <row r="283" spans="1:32">
      <c r="B283" s="55"/>
      <c r="C283" s="42"/>
      <c r="D283" s="42"/>
      <c r="E283" s="417"/>
      <c r="F283" s="417"/>
      <c r="G283" s="417"/>
      <c r="H283" s="417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2"/>
      <c r="AA283" s="42"/>
      <c r="AB283"/>
    </row>
    <row r="284" spans="1:32">
      <c r="B284" s="55"/>
      <c r="C284" s="42"/>
      <c r="D284" s="42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417"/>
      <c r="Z284" s="42"/>
      <c r="AA284" s="42"/>
      <c r="AB284"/>
      <c r="AC284" s="535" t="s">
        <v>612</v>
      </c>
    </row>
    <row r="285" spans="1:32" ht="15.75" customHeight="1">
      <c r="B285" s="566" t="s">
        <v>645</v>
      </c>
      <c r="C285" s="565">
        <f>C242+C252+C258+C266+C273+C277+C282</f>
        <v>3560</v>
      </c>
      <c r="D285" s="565">
        <f>D242+D252+D258+D266+D273+D277+D282</f>
        <v>3560</v>
      </c>
      <c r="E285" s="20">
        <f t="shared" ref="E285:K285" si="73">SUM(E242+E252+E258+E266+E273+E277)</f>
        <v>613.53272000000004</v>
      </c>
      <c r="F285" s="20">
        <f t="shared" si="73"/>
        <v>779.36803000000009</v>
      </c>
      <c r="G285" s="20">
        <f t="shared" si="73"/>
        <v>165.83530999999999</v>
      </c>
      <c r="H285" s="20">
        <f t="shared" si="73"/>
        <v>970.51658000000009</v>
      </c>
      <c r="I285" s="20">
        <f t="shared" si="73"/>
        <v>191.14854999999997</v>
      </c>
      <c r="J285" s="20">
        <f t="shared" si="73"/>
        <v>1331.0791400000001</v>
      </c>
      <c r="K285" s="20">
        <f t="shared" si="73"/>
        <v>359.14556000000005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395"/>
      <c r="AB285"/>
      <c r="AC285" s="524"/>
    </row>
    <row r="286" spans="1:32" ht="17.25" customHeight="1">
      <c r="B286" s="4"/>
      <c r="C286" s="5"/>
      <c r="D286" s="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395"/>
      <c r="AB286"/>
    </row>
    <row r="287" spans="1:32" ht="17.25" customHeight="1">
      <c r="B287" s="4"/>
      <c r="C287" s="5"/>
      <c r="D287" s="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395"/>
      <c r="AB287"/>
    </row>
    <row r="288" spans="1:32" ht="46.5" customHeight="1">
      <c r="A288" s="75" t="s">
        <v>313</v>
      </c>
      <c r="B288" s="8" t="s">
        <v>436</v>
      </c>
      <c r="C288" s="507" t="s">
        <v>524</v>
      </c>
      <c r="D288" s="508" t="s">
        <v>315</v>
      </c>
      <c r="E288" s="393" t="s">
        <v>523</v>
      </c>
      <c r="F288" s="393" t="s">
        <v>525</v>
      </c>
      <c r="G288" s="460" t="s">
        <v>534</v>
      </c>
      <c r="H288" s="393" t="s">
        <v>526</v>
      </c>
      <c r="I288" s="460" t="s">
        <v>535</v>
      </c>
      <c r="J288" s="393" t="s">
        <v>527</v>
      </c>
      <c r="K288" s="460" t="s">
        <v>536</v>
      </c>
      <c r="L288" s="393" t="s">
        <v>528</v>
      </c>
      <c r="M288" s="460" t="s">
        <v>537</v>
      </c>
      <c r="N288" s="393" t="s">
        <v>529</v>
      </c>
      <c r="O288" s="460" t="s">
        <v>538</v>
      </c>
      <c r="P288" s="393" t="s">
        <v>530</v>
      </c>
      <c r="Q288" s="460" t="s">
        <v>539</v>
      </c>
      <c r="R288" s="393" t="s">
        <v>531</v>
      </c>
      <c r="S288" s="460" t="s">
        <v>540</v>
      </c>
      <c r="T288" s="393" t="s">
        <v>532</v>
      </c>
      <c r="U288" s="460" t="s">
        <v>541</v>
      </c>
      <c r="V288" s="393" t="s">
        <v>533</v>
      </c>
      <c r="W288" s="460" t="s">
        <v>542</v>
      </c>
      <c r="X288" s="10"/>
      <c r="Y288" s="393" t="s">
        <v>543</v>
      </c>
      <c r="Z288" s="10" t="s">
        <v>309</v>
      </c>
      <c r="AA288" s="396" t="s">
        <v>7</v>
      </c>
      <c r="AB288"/>
      <c r="AC288" s="473"/>
      <c r="AD288" s="175"/>
      <c r="AE288" s="473"/>
      <c r="AF288" s="467"/>
    </row>
    <row r="289" spans="1:29" ht="27" customHeight="1">
      <c r="A289" s="75" t="s">
        <v>437</v>
      </c>
      <c r="B289" s="399" t="s">
        <v>438</v>
      </c>
      <c r="C289" s="23">
        <v>150</v>
      </c>
      <c r="D289" s="23">
        <v>200</v>
      </c>
      <c r="E289" s="34">
        <v>0</v>
      </c>
      <c r="F289" s="34"/>
      <c r="G289" s="34"/>
      <c r="H289" s="34"/>
      <c r="I289" s="34">
        <f>H289-F289</f>
        <v>0</v>
      </c>
      <c r="J289" s="34"/>
      <c r="K289" s="25">
        <f>J289-H289</f>
        <v>0</v>
      </c>
      <c r="L289" s="34">
        <v>200</v>
      </c>
      <c r="M289" s="34">
        <f>L289-J289</f>
        <v>200</v>
      </c>
      <c r="N289" s="34">
        <v>200</v>
      </c>
      <c r="O289" s="34">
        <f>N289-L289</f>
        <v>0</v>
      </c>
      <c r="P289" s="34">
        <v>200</v>
      </c>
      <c r="Q289" s="25">
        <f>P289-N289</f>
        <v>0</v>
      </c>
      <c r="R289" s="34">
        <v>200</v>
      </c>
      <c r="S289" s="34">
        <f>R289-P289</f>
        <v>0</v>
      </c>
      <c r="T289" s="34"/>
      <c r="U289" s="34"/>
      <c r="V289" s="34"/>
      <c r="W289" s="34"/>
      <c r="X289" s="34"/>
      <c r="Y289" s="25">
        <f>E289+G289+I289+K289+M289+O289+Q289+S289+U289+W289</f>
        <v>200</v>
      </c>
      <c r="Z289" s="26">
        <f>(Y289/C289)*100</f>
        <v>133.33333333333331</v>
      </c>
      <c r="AA289" s="26">
        <f>(Y289/D289)*100</f>
        <v>100</v>
      </c>
      <c r="AB289"/>
    </row>
    <row r="290" spans="1:29" ht="13.5" customHeight="1">
      <c r="B290" s="18" t="s">
        <v>10</v>
      </c>
      <c r="C290" s="19">
        <f>SUM(C289)</f>
        <v>150</v>
      </c>
      <c r="D290" s="19">
        <f>SUM(D289)</f>
        <v>200</v>
      </c>
      <c r="E290" s="20">
        <f>SUM(E289)</f>
        <v>0</v>
      </c>
      <c r="F290" s="20">
        <f t="shared" ref="F290:Y290" si="74">SUM(F289)</f>
        <v>0</v>
      </c>
      <c r="G290" s="20">
        <f t="shared" si="74"/>
        <v>0</v>
      </c>
      <c r="H290" s="20">
        <f t="shared" si="74"/>
        <v>0</v>
      </c>
      <c r="I290" s="20">
        <f t="shared" si="74"/>
        <v>0</v>
      </c>
      <c r="J290" s="20">
        <f t="shared" si="74"/>
        <v>0</v>
      </c>
      <c r="K290" s="20">
        <f t="shared" si="74"/>
        <v>0</v>
      </c>
      <c r="L290" s="20">
        <f t="shared" si="74"/>
        <v>200</v>
      </c>
      <c r="M290" s="20">
        <f t="shared" si="74"/>
        <v>200</v>
      </c>
      <c r="N290" s="20">
        <f t="shared" si="74"/>
        <v>200</v>
      </c>
      <c r="O290" s="20">
        <f t="shared" si="74"/>
        <v>0</v>
      </c>
      <c r="P290" s="20">
        <f t="shared" si="74"/>
        <v>200</v>
      </c>
      <c r="Q290" s="20">
        <f t="shared" si="74"/>
        <v>0</v>
      </c>
      <c r="R290" s="20">
        <f t="shared" si="74"/>
        <v>200</v>
      </c>
      <c r="S290" s="20">
        <f t="shared" si="74"/>
        <v>0</v>
      </c>
      <c r="T290" s="20">
        <f t="shared" si="74"/>
        <v>0</v>
      </c>
      <c r="U290" s="20">
        <f t="shared" si="74"/>
        <v>0</v>
      </c>
      <c r="V290" s="20">
        <f t="shared" si="74"/>
        <v>0</v>
      </c>
      <c r="W290" s="20">
        <f t="shared" si="74"/>
        <v>0</v>
      </c>
      <c r="X290" s="20"/>
      <c r="Y290" s="20">
        <f t="shared" si="74"/>
        <v>200</v>
      </c>
      <c r="Z290" s="18">
        <f>(Y290/C290)*100</f>
        <v>133.33333333333331</v>
      </c>
      <c r="AA290" s="18">
        <f>(Y290/D290)*100</f>
        <v>100</v>
      </c>
      <c r="AB290"/>
    </row>
    <row r="291" spans="1:29" ht="17.25" customHeight="1">
      <c r="B291" s="4"/>
      <c r="C291" s="5"/>
      <c r="D291" s="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395"/>
      <c r="AB291"/>
    </row>
    <row r="292" spans="1:29" ht="17.25" customHeight="1">
      <c r="B292" s="4"/>
      <c r="C292" s="5"/>
      <c r="D292" s="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395"/>
      <c r="AB292"/>
    </row>
    <row r="293" spans="1:29" ht="17.25" customHeight="1">
      <c r="B293" s="4"/>
      <c r="C293" s="5"/>
      <c r="D293" s="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395"/>
      <c r="AB293"/>
      <c r="AC293"/>
    </row>
    <row r="294" spans="1:29" ht="39" customHeight="1">
      <c r="A294" s="75" t="s">
        <v>313</v>
      </c>
      <c r="B294" s="8" t="s">
        <v>439</v>
      </c>
      <c r="C294" s="507" t="s">
        <v>524</v>
      </c>
      <c r="D294" s="508" t="s">
        <v>315</v>
      </c>
      <c r="E294" s="393" t="s">
        <v>523</v>
      </c>
      <c r="F294" s="393" t="s">
        <v>525</v>
      </c>
      <c r="G294" s="460" t="s">
        <v>534</v>
      </c>
      <c r="H294" s="393" t="s">
        <v>526</v>
      </c>
      <c r="I294" s="460" t="s">
        <v>535</v>
      </c>
      <c r="J294" s="393" t="s">
        <v>527</v>
      </c>
      <c r="K294" s="460" t="s">
        <v>536</v>
      </c>
      <c r="L294" s="393" t="s">
        <v>528</v>
      </c>
      <c r="M294" s="460" t="s">
        <v>537</v>
      </c>
      <c r="N294" s="393" t="s">
        <v>529</v>
      </c>
      <c r="O294" s="460" t="s">
        <v>538</v>
      </c>
      <c r="P294" s="393" t="s">
        <v>530</v>
      </c>
      <c r="Q294" s="460" t="s">
        <v>539</v>
      </c>
      <c r="R294" s="393" t="s">
        <v>531</v>
      </c>
      <c r="S294" s="460" t="s">
        <v>540</v>
      </c>
      <c r="T294" s="393" t="s">
        <v>532</v>
      </c>
      <c r="U294" s="460" t="s">
        <v>541</v>
      </c>
      <c r="V294" s="393" t="s">
        <v>533</v>
      </c>
      <c r="W294" s="460" t="s">
        <v>542</v>
      </c>
      <c r="X294" s="10"/>
      <c r="Y294" s="393" t="s">
        <v>543</v>
      </c>
      <c r="Z294" s="10" t="s">
        <v>309</v>
      </c>
      <c r="AA294" s="396" t="s">
        <v>7</v>
      </c>
      <c r="AB294"/>
      <c r="AC294"/>
    </row>
    <row r="295" spans="1:29">
      <c r="A295" s="75" t="s">
        <v>440</v>
      </c>
      <c r="B295" s="62" t="s">
        <v>27</v>
      </c>
      <c r="C295" s="474"/>
      <c r="D295" s="511"/>
      <c r="E295" s="475"/>
      <c r="F295" s="475"/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75"/>
      <c r="R295" s="475"/>
      <c r="S295" s="475"/>
      <c r="T295" s="475"/>
      <c r="U295" s="475"/>
      <c r="V295" s="475"/>
      <c r="W295" s="475"/>
      <c r="X295" s="475"/>
      <c r="Y295" s="475"/>
      <c r="Z295" s="475"/>
      <c r="AA295" s="476"/>
      <c r="AB295"/>
      <c r="AC295"/>
    </row>
    <row r="296" spans="1:29">
      <c r="B296" s="11" t="s">
        <v>325</v>
      </c>
      <c r="C296" s="64">
        <v>60</v>
      </c>
      <c r="D296" s="64">
        <v>60</v>
      </c>
      <c r="E296" s="463">
        <v>0</v>
      </c>
      <c r="F296" s="34"/>
      <c r="G296" s="34"/>
      <c r="H296" s="34"/>
      <c r="I296" s="34">
        <f>H296-F296</f>
        <v>0</v>
      </c>
      <c r="J296" s="34"/>
      <c r="K296" s="25">
        <f>J296-H296</f>
        <v>0</v>
      </c>
      <c r="L296" s="34"/>
      <c r="M296" s="34">
        <f>L296-J296</f>
        <v>0</v>
      </c>
      <c r="N296" s="34"/>
      <c r="O296" s="34">
        <f>N296-L296</f>
        <v>0</v>
      </c>
      <c r="P296" s="34"/>
      <c r="Q296" s="25">
        <f>P296-N296</f>
        <v>0</v>
      </c>
      <c r="S296" s="34">
        <f>R297-P296</f>
        <v>18.754000000000001</v>
      </c>
      <c r="T296" s="34"/>
      <c r="U296" s="34"/>
      <c r="V296" s="34"/>
      <c r="W296" s="34"/>
      <c r="X296" s="34"/>
      <c r="Y296" s="25">
        <f>E296+G296+I296+K296+M296+O296+Q296+S296+U296+W296</f>
        <v>18.754000000000001</v>
      </c>
      <c r="Z296" s="26">
        <f t="shared" ref="Z296:Z301" si="75">(Y296/C296)*100</f>
        <v>31.256666666666671</v>
      </c>
      <c r="AA296" s="26">
        <f t="shared" ref="AA296:AA301" si="76">(Y296/D296)*100</f>
        <v>31.256666666666671</v>
      </c>
      <c r="AB296"/>
      <c r="AC296"/>
    </row>
    <row r="297" spans="1:29">
      <c r="B297" s="11" t="s">
        <v>441</v>
      </c>
      <c r="C297" s="64">
        <v>20</v>
      </c>
      <c r="D297" s="64">
        <v>20</v>
      </c>
      <c r="E297" s="463">
        <v>0</v>
      </c>
      <c r="F297" s="34"/>
      <c r="G297" s="34"/>
      <c r="H297" s="34"/>
      <c r="I297" s="34">
        <f>H297-F297</f>
        <v>0</v>
      </c>
      <c r="J297" s="34">
        <v>3.702</v>
      </c>
      <c r="K297" s="25">
        <f>J297-H297</f>
        <v>3.702</v>
      </c>
      <c r="L297" s="34">
        <v>12.340999999999999</v>
      </c>
      <c r="M297" s="34">
        <f>L297-J297</f>
        <v>8.6389999999999993</v>
      </c>
      <c r="N297" s="34">
        <v>18.512</v>
      </c>
      <c r="O297" s="34">
        <f>N297-L297</f>
        <v>6.1710000000000012</v>
      </c>
      <c r="P297" s="34">
        <v>18.754000000000001</v>
      </c>
      <c r="Q297" s="25">
        <f>P297-N297</f>
        <v>0.24200000000000088</v>
      </c>
      <c r="R297" s="34">
        <v>18.754000000000001</v>
      </c>
      <c r="S297" s="34">
        <f>R298-P297</f>
        <v>14.873000000000001</v>
      </c>
      <c r="T297" s="34"/>
      <c r="U297" s="34"/>
      <c r="V297" s="34"/>
      <c r="W297" s="34"/>
      <c r="X297" s="34"/>
      <c r="Y297" s="25">
        <f>E297+G297+I297+K297+M297+O297+Q297+S297+U297+W297</f>
        <v>33.627000000000002</v>
      </c>
      <c r="Z297" s="26">
        <f t="shared" si="75"/>
        <v>168.13500000000002</v>
      </c>
      <c r="AA297" s="26">
        <f t="shared" si="76"/>
        <v>168.13500000000002</v>
      </c>
      <c r="AB297"/>
      <c r="AC297"/>
    </row>
    <row r="298" spans="1:29">
      <c r="B298" s="11" t="s">
        <v>352</v>
      </c>
      <c r="C298" s="64">
        <v>45</v>
      </c>
      <c r="D298" s="64">
        <v>45</v>
      </c>
      <c r="E298" s="463">
        <v>0</v>
      </c>
      <c r="F298" s="34"/>
      <c r="G298" s="34"/>
      <c r="H298" s="34"/>
      <c r="I298" s="34">
        <f>H298-F298</f>
        <v>0</v>
      </c>
      <c r="J298" s="34"/>
      <c r="K298" s="25">
        <f>J298-H298</f>
        <v>0</v>
      </c>
      <c r="L298" s="34">
        <v>11.064</v>
      </c>
      <c r="M298" s="34">
        <f>L298-J298</f>
        <v>11.064</v>
      </c>
      <c r="N298" s="34">
        <v>11.064</v>
      </c>
      <c r="O298" s="34">
        <f>N298-L298</f>
        <v>0</v>
      </c>
      <c r="P298" s="34">
        <v>11.064</v>
      </c>
      <c r="Q298" s="25">
        <f>P298-N298</f>
        <v>0</v>
      </c>
      <c r="R298" s="34">
        <v>33.627000000000002</v>
      </c>
      <c r="S298" s="34">
        <f>R299-P298</f>
        <v>22.142000000000003</v>
      </c>
      <c r="T298" s="34"/>
      <c r="U298" s="34"/>
      <c r="V298" s="34"/>
      <c r="W298" s="34"/>
      <c r="X298" s="34"/>
      <c r="Y298" s="25">
        <f>E298+G298+I298+K298+M298+O298+Q298+S298+U298+W298</f>
        <v>33.206000000000003</v>
      </c>
      <c r="Z298" s="26">
        <f t="shared" si="75"/>
        <v>73.791111111111121</v>
      </c>
      <c r="AA298" s="26">
        <f t="shared" si="76"/>
        <v>73.791111111111121</v>
      </c>
      <c r="AB298"/>
      <c r="AC298"/>
    </row>
    <row r="299" spans="1:29" ht="25.5">
      <c r="B299" s="399" t="s">
        <v>442</v>
      </c>
      <c r="C299" s="65">
        <v>50</v>
      </c>
      <c r="D299" s="65">
        <v>50</v>
      </c>
      <c r="E299" s="463">
        <v>0</v>
      </c>
      <c r="F299" s="34"/>
      <c r="G299" s="34"/>
      <c r="H299" s="34"/>
      <c r="I299" s="34">
        <f>H299-F299</f>
        <v>0</v>
      </c>
      <c r="J299" s="34"/>
      <c r="K299" s="25">
        <f>J299-H299</f>
        <v>0</v>
      </c>
      <c r="L299" s="34">
        <v>12.598000000000001</v>
      </c>
      <c r="M299" s="34">
        <f>L299-J299</f>
        <v>12.598000000000001</v>
      </c>
      <c r="N299" s="34">
        <v>33.206000000000003</v>
      </c>
      <c r="O299" s="34">
        <f>N299-L299</f>
        <v>20.608000000000004</v>
      </c>
      <c r="P299" s="34">
        <v>33.206000000000003</v>
      </c>
      <c r="Q299" s="25">
        <f>P299-N299</f>
        <v>0</v>
      </c>
      <c r="R299" s="34">
        <v>33.206000000000003</v>
      </c>
      <c r="S299" s="34">
        <f>R300-P299</f>
        <v>-33.206000000000003</v>
      </c>
      <c r="T299" s="34"/>
      <c r="U299" s="34"/>
      <c r="V299" s="34"/>
      <c r="W299" s="34"/>
      <c r="X299" s="34"/>
      <c r="Y299" s="25">
        <f>E299+G299+I299+K299+M299+O299+Q299+S299+U299+W299</f>
        <v>0</v>
      </c>
      <c r="Z299" s="26">
        <f t="shared" si="75"/>
        <v>0</v>
      </c>
      <c r="AA299" s="26">
        <f t="shared" si="76"/>
        <v>0</v>
      </c>
      <c r="AB299"/>
      <c r="AC299"/>
    </row>
    <row r="300" spans="1:29">
      <c r="B300" s="11" t="s">
        <v>335</v>
      </c>
      <c r="C300" s="64">
        <v>5</v>
      </c>
      <c r="D300" s="64">
        <v>5</v>
      </c>
      <c r="E300" s="463">
        <v>0</v>
      </c>
      <c r="F300" s="34"/>
      <c r="G300" s="34"/>
      <c r="H300" s="34"/>
      <c r="I300" s="34">
        <f>H300-F300</f>
        <v>0</v>
      </c>
      <c r="J300" s="34"/>
      <c r="K300" s="25">
        <f>J300-H300</f>
        <v>0</v>
      </c>
      <c r="L300" s="34"/>
      <c r="M300" s="34">
        <f>L300-J300</f>
        <v>0</v>
      </c>
      <c r="N300" s="34"/>
      <c r="O300" s="34">
        <f>N300-L300</f>
        <v>0</v>
      </c>
      <c r="P300" s="34"/>
      <c r="Q300" s="25">
        <f>P300-N300</f>
        <v>0</v>
      </c>
      <c r="R300" s="34"/>
      <c r="S300" s="34">
        <f>R300-P300</f>
        <v>0</v>
      </c>
      <c r="T300" s="34"/>
      <c r="U300" s="34"/>
      <c r="V300" s="34"/>
      <c r="W300" s="34"/>
      <c r="X300" s="34"/>
      <c r="Y300" s="25">
        <f>E300+G300+I300+K300+M300+O300+Q300+S300+U300+W300</f>
        <v>0</v>
      </c>
      <c r="Z300" s="26">
        <f t="shared" si="75"/>
        <v>0</v>
      </c>
      <c r="AA300" s="26">
        <f t="shared" si="76"/>
        <v>0</v>
      </c>
      <c r="AB300"/>
      <c r="AC300"/>
    </row>
    <row r="301" spans="1:29">
      <c r="B301" s="16"/>
      <c r="C301" s="39">
        <f>SUM(C296:C300)</f>
        <v>180</v>
      </c>
      <c r="D301" s="39">
        <f>SUM(D296:D300)</f>
        <v>180</v>
      </c>
      <c r="E301" s="40">
        <f>SUM(E296:E300)</f>
        <v>0</v>
      </c>
      <c r="F301" s="40">
        <f t="shared" ref="F301:W301" si="77">SUM(F296:F300)</f>
        <v>0</v>
      </c>
      <c r="G301" s="40">
        <f t="shared" si="77"/>
        <v>0</v>
      </c>
      <c r="H301" s="40">
        <f t="shared" si="77"/>
        <v>0</v>
      </c>
      <c r="I301" s="40">
        <f t="shared" si="77"/>
        <v>0</v>
      </c>
      <c r="J301" s="40">
        <f t="shared" si="77"/>
        <v>3.702</v>
      </c>
      <c r="K301" s="40">
        <f t="shared" si="77"/>
        <v>3.702</v>
      </c>
      <c r="L301" s="40">
        <f t="shared" si="77"/>
        <v>36.003</v>
      </c>
      <c r="M301" s="40">
        <f t="shared" si="77"/>
        <v>32.301000000000002</v>
      </c>
      <c r="N301" s="40">
        <f t="shared" si="77"/>
        <v>62.782000000000004</v>
      </c>
      <c r="O301" s="40">
        <f t="shared" si="77"/>
        <v>26.779000000000003</v>
      </c>
      <c r="P301" s="40">
        <f t="shared" si="77"/>
        <v>63.024000000000001</v>
      </c>
      <c r="Q301" s="40">
        <f t="shared" si="77"/>
        <v>0.24200000000000088</v>
      </c>
      <c r="R301" s="40">
        <f>SUM(R297:R300)</f>
        <v>85.587000000000003</v>
      </c>
      <c r="S301" s="40">
        <f t="shared" si="77"/>
        <v>22.563000000000002</v>
      </c>
      <c r="T301" s="40">
        <f t="shared" si="77"/>
        <v>0</v>
      </c>
      <c r="U301" s="40">
        <f t="shared" si="77"/>
        <v>0</v>
      </c>
      <c r="V301" s="40">
        <f t="shared" si="77"/>
        <v>0</v>
      </c>
      <c r="W301" s="40">
        <f t="shared" si="77"/>
        <v>0</v>
      </c>
      <c r="X301" s="40"/>
      <c r="Y301" s="40">
        <f>SUM(Y296:Y300)</f>
        <v>85.587000000000003</v>
      </c>
      <c r="Z301" s="401">
        <f t="shared" si="75"/>
        <v>47.548333333333339</v>
      </c>
      <c r="AA301" s="401">
        <f t="shared" si="76"/>
        <v>47.548333333333339</v>
      </c>
      <c r="AB301"/>
      <c r="AC301"/>
    </row>
    <row r="302" spans="1:29">
      <c r="A302" s="75" t="s">
        <v>313</v>
      </c>
      <c r="B302" s="62" t="s">
        <v>28</v>
      </c>
      <c r="C302" s="474"/>
      <c r="D302" s="66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420"/>
      <c r="AB302"/>
      <c r="AC302"/>
    </row>
    <row r="303" spans="1:29">
      <c r="A303" s="75" t="s">
        <v>443</v>
      </c>
      <c r="B303" s="11" t="s">
        <v>330</v>
      </c>
      <c r="C303" s="65"/>
      <c r="D303" s="23"/>
      <c r="E303" s="463"/>
      <c r="F303" s="34"/>
      <c r="G303" s="34"/>
      <c r="H303" s="34"/>
      <c r="I303" s="34">
        <f>H303-F303</f>
        <v>0</v>
      </c>
      <c r="J303" s="34"/>
      <c r="K303" s="25">
        <f>J303-H303</f>
        <v>0</v>
      </c>
      <c r="L303" s="34"/>
      <c r="M303" s="34">
        <f>L303-J303</f>
        <v>0</v>
      </c>
      <c r="N303" s="34"/>
      <c r="O303" s="34">
        <f>N303-L303</f>
        <v>0</v>
      </c>
      <c r="P303" s="34"/>
      <c r="Q303" s="25">
        <f>P303-N303</f>
        <v>0</v>
      </c>
      <c r="R303" s="34"/>
      <c r="S303" s="34">
        <f>R303-P303</f>
        <v>0</v>
      </c>
      <c r="T303" s="34"/>
      <c r="U303" s="34"/>
      <c r="V303" s="34"/>
      <c r="W303" s="34"/>
      <c r="X303" s="34"/>
      <c r="Y303" s="25"/>
      <c r="Z303" s="26"/>
      <c r="AA303" s="26"/>
      <c r="AB303"/>
      <c r="AC303"/>
    </row>
    <row r="304" spans="1:29">
      <c r="B304" s="11" t="s">
        <v>331</v>
      </c>
      <c r="C304" s="65">
        <v>5</v>
      </c>
      <c r="D304" s="23">
        <v>5</v>
      </c>
      <c r="E304" s="463">
        <v>0</v>
      </c>
      <c r="F304" s="34"/>
      <c r="G304" s="34"/>
      <c r="H304" s="34"/>
      <c r="I304" s="34">
        <f>H304-F304</f>
        <v>0</v>
      </c>
      <c r="J304" s="34">
        <v>0.154</v>
      </c>
      <c r="K304" s="25">
        <f>J304-H304</f>
        <v>0.154</v>
      </c>
      <c r="L304" s="34">
        <v>0.154</v>
      </c>
      <c r="M304" s="34">
        <f>L304-J304</f>
        <v>0</v>
      </c>
      <c r="N304" s="34">
        <v>0.154</v>
      </c>
      <c r="O304" s="34">
        <f>N304-L304</f>
        <v>0</v>
      </c>
      <c r="P304" s="34">
        <v>0.154</v>
      </c>
      <c r="Q304" s="25">
        <f>P304-N304</f>
        <v>0</v>
      </c>
      <c r="R304" s="34">
        <v>0.154</v>
      </c>
      <c r="S304" s="34">
        <f>R304-P304</f>
        <v>0</v>
      </c>
      <c r="T304" s="34"/>
      <c r="U304" s="34"/>
      <c r="V304" s="34"/>
      <c r="W304" s="34"/>
      <c r="X304" s="34"/>
      <c r="Y304" s="25">
        <f>E304+G304+I304+K304+M304+O304+Q304+S304+U304+W304</f>
        <v>0.154</v>
      </c>
      <c r="Z304" s="26">
        <f>(Y304/C304)*100</f>
        <v>3.08</v>
      </c>
      <c r="AA304" s="26">
        <f>(Y304/D304)*100</f>
        <v>3.08</v>
      </c>
      <c r="AB304"/>
      <c r="AC304"/>
    </row>
    <row r="305" spans="1:32" ht="25.5">
      <c r="B305" s="399" t="s">
        <v>444</v>
      </c>
      <c r="C305" s="65">
        <v>50</v>
      </c>
      <c r="D305" s="23">
        <v>50</v>
      </c>
      <c r="E305" s="463">
        <v>0</v>
      </c>
      <c r="F305" s="34"/>
      <c r="G305" s="34"/>
      <c r="H305" s="34"/>
      <c r="I305" s="34">
        <f>H305-F305</f>
        <v>0</v>
      </c>
      <c r="J305" s="34"/>
      <c r="K305" s="25">
        <f>J305-H305</f>
        <v>0</v>
      </c>
      <c r="L305" s="34"/>
      <c r="M305" s="34">
        <f>L305-J305</f>
        <v>0</v>
      </c>
      <c r="N305" s="34"/>
      <c r="O305" s="34">
        <f>N305-L305</f>
        <v>0</v>
      </c>
      <c r="P305" s="34">
        <v>14.23</v>
      </c>
      <c r="Q305" s="25">
        <f>P305-N305</f>
        <v>14.23</v>
      </c>
      <c r="R305" s="34">
        <v>14.23</v>
      </c>
      <c r="S305" s="34">
        <f>R305-P305</f>
        <v>0</v>
      </c>
      <c r="T305" s="34"/>
      <c r="U305" s="34"/>
      <c r="V305" s="34"/>
      <c r="W305" s="34"/>
      <c r="X305" s="34"/>
      <c r="Y305" s="25">
        <f>E305+G305+I305+K305+M305+O305+Q305+S305+U305+W305</f>
        <v>14.23</v>
      </c>
      <c r="Z305" s="26">
        <f>(Y305/C305)*100</f>
        <v>28.46</v>
      </c>
      <c r="AA305" s="26">
        <f>(Y305/D305)*100</f>
        <v>28.46</v>
      </c>
      <c r="AB305"/>
      <c r="AC305"/>
    </row>
    <row r="306" spans="1:32">
      <c r="B306" s="11" t="s">
        <v>445</v>
      </c>
      <c r="C306" s="64">
        <v>15</v>
      </c>
      <c r="D306" s="23">
        <v>15</v>
      </c>
      <c r="E306" s="463">
        <v>0</v>
      </c>
      <c r="F306" s="34"/>
      <c r="G306" s="34"/>
      <c r="H306" s="34">
        <v>6.5119999999999996</v>
      </c>
      <c r="I306" s="34">
        <f>H306-F306</f>
        <v>6.5119999999999996</v>
      </c>
      <c r="J306" s="34">
        <v>6.5119999999999996</v>
      </c>
      <c r="K306" s="25">
        <f>J306-H306</f>
        <v>0</v>
      </c>
      <c r="L306" s="34">
        <v>6.5119999999999996</v>
      </c>
      <c r="M306" s="34">
        <f>L306-J306</f>
        <v>0</v>
      </c>
      <c r="N306" s="34">
        <v>10.412000000000001</v>
      </c>
      <c r="O306" s="34">
        <f>N306-L306</f>
        <v>3.9000000000000012</v>
      </c>
      <c r="P306" s="34">
        <v>10.412000000000001</v>
      </c>
      <c r="Q306" s="25">
        <f>P306-N306</f>
        <v>0</v>
      </c>
      <c r="R306" s="34">
        <v>10.412000000000001</v>
      </c>
      <c r="S306" s="34">
        <f>R306-P306</f>
        <v>0</v>
      </c>
      <c r="T306" s="34"/>
      <c r="U306" s="34"/>
      <c r="V306" s="34"/>
      <c r="W306" s="34"/>
      <c r="X306" s="34"/>
      <c r="Y306" s="25">
        <f>E306+G306+I306+K306+M306+O306+Q306+S306+U306+W306</f>
        <v>10.412000000000001</v>
      </c>
      <c r="Z306" s="26">
        <f>(Y306/C306)*100</f>
        <v>69.413333333333341</v>
      </c>
      <c r="AA306" s="26">
        <f>(Y306/D306)*100</f>
        <v>69.413333333333341</v>
      </c>
      <c r="AB306"/>
      <c r="AC306"/>
    </row>
    <row r="307" spans="1:32" ht="12" customHeight="1">
      <c r="B307" s="4"/>
      <c r="C307" s="39">
        <f>SUM(C303:C306)</f>
        <v>70</v>
      </c>
      <c r="D307" s="39">
        <f>SUM(D303:D306)</f>
        <v>70</v>
      </c>
      <c r="E307" s="40">
        <f>SUM(E303:E306)</f>
        <v>0</v>
      </c>
      <c r="F307" s="40">
        <f t="shared" ref="F307:Y307" si="78">SUM(F303:F306)</f>
        <v>0</v>
      </c>
      <c r="G307" s="40">
        <f t="shared" si="78"/>
        <v>0</v>
      </c>
      <c r="H307" s="40">
        <f t="shared" si="78"/>
        <v>6.5119999999999996</v>
      </c>
      <c r="I307" s="40">
        <f t="shared" si="78"/>
        <v>6.5119999999999996</v>
      </c>
      <c r="J307" s="40">
        <f t="shared" si="78"/>
        <v>6.6659999999999995</v>
      </c>
      <c r="K307" s="40">
        <f t="shared" si="78"/>
        <v>0.154</v>
      </c>
      <c r="L307" s="40">
        <f t="shared" si="78"/>
        <v>6.6659999999999995</v>
      </c>
      <c r="M307" s="40">
        <f t="shared" si="78"/>
        <v>0</v>
      </c>
      <c r="N307" s="40">
        <f t="shared" si="78"/>
        <v>10.566000000000001</v>
      </c>
      <c r="O307" s="40">
        <f t="shared" si="78"/>
        <v>3.9000000000000012</v>
      </c>
      <c r="P307" s="40">
        <f t="shared" si="78"/>
        <v>24.795999999999999</v>
      </c>
      <c r="Q307" s="40">
        <f t="shared" si="78"/>
        <v>14.23</v>
      </c>
      <c r="R307" s="40">
        <f t="shared" si="78"/>
        <v>24.795999999999999</v>
      </c>
      <c r="S307" s="40">
        <f t="shared" si="78"/>
        <v>0</v>
      </c>
      <c r="T307" s="40">
        <f t="shared" si="78"/>
        <v>0</v>
      </c>
      <c r="U307" s="40">
        <f t="shared" si="78"/>
        <v>0</v>
      </c>
      <c r="V307" s="40">
        <f t="shared" si="78"/>
        <v>0</v>
      </c>
      <c r="W307" s="40">
        <f t="shared" si="78"/>
        <v>0</v>
      </c>
      <c r="X307" s="40"/>
      <c r="Y307" s="40">
        <f t="shared" si="78"/>
        <v>24.795999999999999</v>
      </c>
      <c r="Z307" s="401">
        <f>(Y307/C307)*100</f>
        <v>35.42285714285714</v>
      </c>
      <c r="AA307" s="401">
        <f>(Y307/D307)*100</f>
        <v>35.42285714285714</v>
      </c>
      <c r="AB307"/>
      <c r="AC307"/>
    </row>
    <row r="308" spans="1:32" ht="12" customHeight="1">
      <c r="B308" s="4"/>
      <c r="C308" s="512"/>
      <c r="D308" s="51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/>
      <c r="AC308"/>
    </row>
    <row r="309" spans="1:32">
      <c r="B309" s="61" t="s">
        <v>29</v>
      </c>
      <c r="C309" s="19">
        <f>SUM(C301+C307)</f>
        <v>250</v>
      </c>
      <c r="D309" s="19">
        <f>SUM(D301+D307)</f>
        <v>250</v>
      </c>
      <c r="E309" s="20">
        <f>SUM(E301+E307)</f>
        <v>0</v>
      </c>
      <c r="F309" s="20">
        <f t="shared" ref="F309:Y309" si="79">SUM(F301+F307)</f>
        <v>0</v>
      </c>
      <c r="G309" s="20">
        <f t="shared" si="79"/>
        <v>0</v>
      </c>
      <c r="H309" s="20">
        <f t="shared" si="79"/>
        <v>6.5119999999999996</v>
      </c>
      <c r="I309" s="20">
        <f t="shared" si="79"/>
        <v>6.5119999999999996</v>
      </c>
      <c r="J309" s="20">
        <f t="shared" si="79"/>
        <v>10.367999999999999</v>
      </c>
      <c r="K309" s="20">
        <f t="shared" si="79"/>
        <v>3.8559999999999999</v>
      </c>
      <c r="L309" s="20">
        <f t="shared" si="79"/>
        <v>42.668999999999997</v>
      </c>
      <c r="M309" s="20">
        <f t="shared" si="79"/>
        <v>32.301000000000002</v>
      </c>
      <c r="N309" s="20">
        <f t="shared" si="79"/>
        <v>73.347999999999999</v>
      </c>
      <c r="O309" s="20">
        <f t="shared" si="79"/>
        <v>30.679000000000006</v>
      </c>
      <c r="P309" s="20">
        <f t="shared" si="79"/>
        <v>87.82</v>
      </c>
      <c r="Q309" s="20">
        <f t="shared" si="79"/>
        <v>14.472000000000001</v>
      </c>
      <c r="R309" s="20">
        <f t="shared" si="79"/>
        <v>110.38300000000001</v>
      </c>
      <c r="S309" s="20">
        <f t="shared" si="79"/>
        <v>22.563000000000002</v>
      </c>
      <c r="T309" s="20">
        <f t="shared" si="79"/>
        <v>0</v>
      </c>
      <c r="U309" s="20">
        <f t="shared" si="79"/>
        <v>0</v>
      </c>
      <c r="V309" s="20">
        <f t="shared" si="79"/>
        <v>0</v>
      </c>
      <c r="W309" s="20">
        <f t="shared" si="79"/>
        <v>0</v>
      </c>
      <c r="X309" s="20"/>
      <c r="Y309" s="20">
        <f t="shared" si="79"/>
        <v>110.38300000000001</v>
      </c>
      <c r="Z309" s="18">
        <f>(Y309/C309)*100</f>
        <v>44.153200000000005</v>
      </c>
      <c r="AA309" s="18">
        <f>(Y309/D309)*100</f>
        <v>44.153200000000005</v>
      </c>
      <c r="AB309"/>
    </row>
    <row r="310" spans="1:32" ht="17.25" customHeight="1">
      <c r="B310" s="4"/>
      <c r="C310" s="5"/>
      <c r="D310" s="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395"/>
      <c r="AB310"/>
    </row>
    <row r="311" spans="1:32" ht="17.25" customHeight="1">
      <c r="B311" s="4"/>
      <c r="C311" s="5"/>
      <c r="D311" s="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395"/>
      <c r="AB311"/>
    </row>
    <row r="312" spans="1:32" ht="42" customHeight="1">
      <c r="A312" s="75" t="s">
        <v>313</v>
      </c>
      <c r="B312" s="8" t="s">
        <v>446</v>
      </c>
      <c r="C312" s="507" t="s">
        <v>524</v>
      </c>
      <c r="D312" s="508" t="s">
        <v>315</v>
      </c>
      <c r="E312" s="393" t="s">
        <v>523</v>
      </c>
      <c r="F312" s="393" t="s">
        <v>525</v>
      </c>
      <c r="G312" s="460" t="s">
        <v>534</v>
      </c>
      <c r="H312" s="393" t="s">
        <v>526</v>
      </c>
      <c r="I312" s="460" t="s">
        <v>535</v>
      </c>
      <c r="J312" s="393" t="s">
        <v>527</v>
      </c>
      <c r="K312" s="460" t="s">
        <v>536</v>
      </c>
      <c r="L312" s="393" t="s">
        <v>528</v>
      </c>
      <c r="M312" s="460" t="s">
        <v>537</v>
      </c>
      <c r="N312" s="393" t="s">
        <v>529</v>
      </c>
      <c r="O312" s="460" t="s">
        <v>538</v>
      </c>
      <c r="P312" s="393" t="s">
        <v>530</v>
      </c>
      <c r="Q312" s="460" t="s">
        <v>539</v>
      </c>
      <c r="R312" s="393" t="s">
        <v>531</v>
      </c>
      <c r="S312" s="460" t="s">
        <v>540</v>
      </c>
      <c r="T312" s="393" t="s">
        <v>532</v>
      </c>
      <c r="U312" s="460" t="s">
        <v>541</v>
      </c>
      <c r="V312" s="393" t="s">
        <v>533</v>
      </c>
      <c r="W312" s="460" t="s">
        <v>542</v>
      </c>
      <c r="X312" s="10"/>
      <c r="Y312" s="393" t="s">
        <v>543</v>
      </c>
      <c r="Z312" s="10" t="s">
        <v>309</v>
      </c>
      <c r="AA312" s="396" t="s">
        <v>7</v>
      </c>
      <c r="AB312"/>
    </row>
    <row r="313" spans="1:32" ht="25.5">
      <c r="A313" s="75" t="s">
        <v>447</v>
      </c>
      <c r="B313" s="471" t="s">
        <v>417</v>
      </c>
      <c r="C313" s="33">
        <v>370</v>
      </c>
      <c r="D313" s="23">
        <v>370</v>
      </c>
      <c r="E313" s="34">
        <v>5</v>
      </c>
      <c r="F313" s="34">
        <v>5</v>
      </c>
      <c r="G313" s="34"/>
      <c r="H313" s="34">
        <v>9</v>
      </c>
      <c r="I313" s="34">
        <f>H313-F313</f>
        <v>4</v>
      </c>
      <c r="J313" s="34">
        <v>309</v>
      </c>
      <c r="K313" s="25">
        <f>J313-H313</f>
        <v>300</v>
      </c>
      <c r="L313" s="34">
        <v>309</v>
      </c>
      <c r="M313" s="34">
        <f>L313-J313</f>
        <v>0</v>
      </c>
      <c r="N313" s="34">
        <v>309</v>
      </c>
      <c r="O313" s="34">
        <f>N313-L313</f>
        <v>0</v>
      </c>
      <c r="P313" s="34">
        <v>314</v>
      </c>
      <c r="Q313" s="25">
        <f>P313-N313</f>
        <v>5</v>
      </c>
      <c r="R313" s="34">
        <v>314</v>
      </c>
      <c r="S313" s="34">
        <f>R313-P313</f>
        <v>0</v>
      </c>
      <c r="T313" s="34"/>
      <c r="U313" s="34"/>
      <c r="V313" s="34"/>
      <c r="W313" s="34"/>
      <c r="X313" s="34"/>
      <c r="Y313" s="25">
        <f>E313+G313+I313+K313+M313+O313+Q313+S313+U313+W313</f>
        <v>314</v>
      </c>
      <c r="Z313" s="26">
        <f>(Y313/C313)*100</f>
        <v>84.86486486486487</v>
      </c>
      <c r="AA313" s="26">
        <f>(Y313/D313)*100</f>
        <v>84.86486486486487</v>
      </c>
      <c r="AB313"/>
    </row>
    <row r="314" spans="1:32">
      <c r="B314" s="18" t="s">
        <v>10</v>
      </c>
      <c r="C314" s="19">
        <f>SUM(C313)</f>
        <v>370</v>
      </c>
      <c r="D314" s="19">
        <f>SUM(D313)</f>
        <v>370</v>
      </c>
      <c r="E314" s="19">
        <f t="shared" ref="E314:S314" si="80">SUM(E313)</f>
        <v>5</v>
      </c>
      <c r="F314" s="19">
        <f t="shared" si="80"/>
        <v>5</v>
      </c>
      <c r="G314" s="19">
        <f t="shared" si="80"/>
        <v>0</v>
      </c>
      <c r="H314" s="19">
        <f t="shared" si="80"/>
        <v>9</v>
      </c>
      <c r="I314" s="19">
        <f t="shared" si="80"/>
        <v>4</v>
      </c>
      <c r="J314" s="19">
        <f t="shared" si="80"/>
        <v>309</v>
      </c>
      <c r="K314" s="19">
        <f t="shared" si="80"/>
        <v>300</v>
      </c>
      <c r="L314" s="19">
        <f t="shared" si="80"/>
        <v>309</v>
      </c>
      <c r="M314" s="19">
        <f t="shared" si="80"/>
        <v>0</v>
      </c>
      <c r="N314" s="19">
        <f t="shared" si="80"/>
        <v>309</v>
      </c>
      <c r="O314" s="19">
        <f t="shared" si="80"/>
        <v>0</v>
      </c>
      <c r="P314" s="20">
        <f t="shared" si="80"/>
        <v>314</v>
      </c>
      <c r="Q314" s="20">
        <f t="shared" si="80"/>
        <v>5</v>
      </c>
      <c r="R314" s="20">
        <f t="shared" si="80"/>
        <v>314</v>
      </c>
      <c r="S314" s="20">
        <f t="shared" si="80"/>
        <v>0</v>
      </c>
      <c r="T314" s="68"/>
      <c r="U314" s="68"/>
      <c r="V314" s="68"/>
      <c r="W314" s="68"/>
      <c r="X314" s="68"/>
      <c r="Y314" s="20">
        <f>SUM(Y313)</f>
        <v>314</v>
      </c>
      <c r="Z314" s="18">
        <f>(Y314/C314)*100</f>
        <v>84.86486486486487</v>
      </c>
      <c r="AA314" s="18">
        <f>(Y314/D314)*100</f>
        <v>84.86486486486487</v>
      </c>
      <c r="AB314"/>
    </row>
    <row r="315" spans="1:32" ht="17.25" customHeight="1">
      <c r="B315" s="4"/>
      <c r="C315" s="5"/>
      <c r="D315" s="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395"/>
      <c r="AB315"/>
    </row>
    <row r="316" spans="1:32" ht="17.25" customHeight="1">
      <c r="B316" s="4"/>
      <c r="C316" s="5"/>
      <c r="D316" s="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395"/>
      <c r="AB316"/>
    </row>
    <row r="317" spans="1:32" ht="43.5" customHeight="1">
      <c r="A317" s="75" t="s">
        <v>313</v>
      </c>
      <c r="B317" s="490" t="s">
        <v>575</v>
      </c>
      <c r="C317" s="507" t="s">
        <v>524</v>
      </c>
      <c r="D317" s="508" t="s">
        <v>315</v>
      </c>
      <c r="E317" s="393" t="s">
        <v>523</v>
      </c>
      <c r="F317" s="393" t="s">
        <v>525</v>
      </c>
      <c r="G317" s="460" t="s">
        <v>534</v>
      </c>
      <c r="H317" s="393" t="s">
        <v>526</v>
      </c>
      <c r="I317" s="460" t="s">
        <v>535</v>
      </c>
      <c r="J317" s="393" t="s">
        <v>527</v>
      </c>
      <c r="K317" s="460" t="s">
        <v>536</v>
      </c>
      <c r="L317" s="393" t="s">
        <v>528</v>
      </c>
      <c r="M317" s="460" t="s">
        <v>537</v>
      </c>
      <c r="N317" s="393" t="s">
        <v>529</v>
      </c>
      <c r="O317" s="460" t="s">
        <v>538</v>
      </c>
      <c r="P317" s="393" t="s">
        <v>530</v>
      </c>
      <c r="Q317" s="460" t="s">
        <v>539</v>
      </c>
      <c r="R317" s="393" t="s">
        <v>531</v>
      </c>
      <c r="S317" s="460" t="s">
        <v>540</v>
      </c>
      <c r="T317" s="393" t="s">
        <v>532</v>
      </c>
      <c r="U317" s="460" t="s">
        <v>541</v>
      </c>
      <c r="V317" s="393" t="s">
        <v>533</v>
      </c>
      <c r="W317" s="460" t="s">
        <v>542</v>
      </c>
      <c r="X317" s="10"/>
      <c r="Y317" s="393" t="s">
        <v>543</v>
      </c>
      <c r="Z317" s="492"/>
      <c r="AA317" s="493"/>
      <c r="AB317"/>
      <c r="AC317" s="495"/>
      <c r="AE317" s="496"/>
      <c r="AF317" s="497"/>
    </row>
    <row r="318" spans="1:32" ht="49.5" customHeight="1">
      <c r="A318" s="2" t="s">
        <v>605</v>
      </c>
      <c r="B318" s="491" t="s">
        <v>574</v>
      </c>
      <c r="C318" s="23">
        <v>3500</v>
      </c>
      <c r="D318" s="23">
        <v>3500</v>
      </c>
      <c r="E318" s="34">
        <v>0</v>
      </c>
      <c r="F318" s="34"/>
      <c r="G318" s="34"/>
      <c r="H318" s="34">
        <v>5.8</v>
      </c>
      <c r="I318" s="34">
        <f>H318-F318</f>
        <v>5.8</v>
      </c>
      <c r="J318" s="34">
        <v>5.8</v>
      </c>
      <c r="K318" s="25">
        <f>J318-H318</f>
        <v>0</v>
      </c>
      <c r="L318" s="34">
        <v>5.8</v>
      </c>
      <c r="M318" s="34">
        <f>L318-J318</f>
        <v>0</v>
      </c>
      <c r="N318" s="34">
        <v>27.58</v>
      </c>
      <c r="O318" s="34">
        <f>N318-L318</f>
        <v>21.779999999999998</v>
      </c>
      <c r="P318" s="34">
        <v>32.823</v>
      </c>
      <c r="Q318" s="25">
        <f>P318-N318</f>
        <v>5.2430000000000021</v>
      </c>
      <c r="R318" s="34">
        <v>844.70758999999998</v>
      </c>
      <c r="S318" s="34">
        <f>R318-P318</f>
        <v>811.88459</v>
      </c>
      <c r="T318" s="34"/>
      <c r="U318" s="34"/>
      <c r="V318" s="34"/>
      <c r="W318" s="34"/>
      <c r="X318" s="34"/>
      <c r="Y318" s="25">
        <f>E318+G318+I318+K318+M318+O318+Q318+S318+U318+W318</f>
        <v>844.70758999999998</v>
      </c>
      <c r="Z318" s="494"/>
      <c r="AA318" s="494"/>
      <c r="AB318"/>
      <c r="AC318" s="501" t="s">
        <v>646</v>
      </c>
      <c r="AE318" s="497"/>
      <c r="AF318" s="497"/>
    </row>
    <row r="319" spans="1:32" ht="14.25" customHeight="1">
      <c r="B319" s="41" t="s">
        <v>10</v>
      </c>
      <c r="C319" s="42">
        <f>C318</f>
        <v>3500</v>
      </c>
      <c r="D319" s="42">
        <f>D318</f>
        <v>3500</v>
      </c>
      <c r="E319" s="417">
        <f>SUM(E318)</f>
        <v>0</v>
      </c>
      <c r="F319" s="417">
        <f t="shared" ref="F319:W319" si="81">SUM(F318)</f>
        <v>0</v>
      </c>
      <c r="G319" s="417">
        <f>SUM(G318)</f>
        <v>0</v>
      </c>
      <c r="H319" s="417">
        <f t="shared" si="81"/>
        <v>5.8</v>
      </c>
      <c r="I319" s="417">
        <f t="shared" si="81"/>
        <v>5.8</v>
      </c>
      <c r="J319" s="417">
        <f t="shared" si="81"/>
        <v>5.8</v>
      </c>
      <c r="K319" s="417">
        <f t="shared" si="81"/>
        <v>0</v>
      </c>
      <c r="L319" s="417">
        <f t="shared" si="81"/>
        <v>5.8</v>
      </c>
      <c r="M319" s="417">
        <f t="shared" si="81"/>
        <v>0</v>
      </c>
      <c r="N319" s="417">
        <f t="shared" si="81"/>
        <v>27.58</v>
      </c>
      <c r="O319" s="417">
        <f t="shared" si="81"/>
        <v>21.779999999999998</v>
      </c>
      <c r="P319" s="417">
        <f t="shared" si="81"/>
        <v>32.823</v>
      </c>
      <c r="Q319" s="417">
        <f t="shared" si="81"/>
        <v>5.2430000000000021</v>
      </c>
      <c r="R319" s="417">
        <f t="shared" si="81"/>
        <v>844.70758999999998</v>
      </c>
      <c r="S319" s="417">
        <f t="shared" si="81"/>
        <v>811.88459</v>
      </c>
      <c r="T319" s="417">
        <f t="shared" si="81"/>
        <v>0</v>
      </c>
      <c r="U319" s="417">
        <f t="shared" si="81"/>
        <v>0</v>
      </c>
      <c r="V319" s="417">
        <f t="shared" si="81"/>
        <v>0</v>
      </c>
      <c r="W319" s="417">
        <f t="shared" si="81"/>
        <v>0</v>
      </c>
      <c r="X319" s="417"/>
      <c r="Y319" s="417">
        <f>SUM(Y318)</f>
        <v>844.70758999999998</v>
      </c>
      <c r="Z319" s="41"/>
      <c r="AA319" s="41"/>
      <c r="AB319"/>
      <c r="AC319" s="499">
        <f>Y319</f>
        <v>844.70758999999998</v>
      </c>
      <c r="AE319" s="417"/>
      <c r="AF319" s="417"/>
    </row>
    <row r="320" spans="1:32" ht="17.25" customHeight="1">
      <c r="B320" s="4"/>
      <c r="C320" s="5"/>
      <c r="D320" s="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395"/>
      <c r="AB320"/>
    </row>
    <row r="321" spans="1:33" ht="17.25" customHeight="1">
      <c r="B321" s="4"/>
      <c r="C321" s="5"/>
      <c r="D321" s="5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395"/>
      <c r="AB321"/>
    </row>
    <row r="322" spans="1:33" ht="39.75" customHeight="1">
      <c r="A322" s="75" t="s">
        <v>313</v>
      </c>
      <c r="B322" s="8" t="s">
        <v>448</v>
      </c>
      <c r="C322" s="507" t="s">
        <v>524</v>
      </c>
      <c r="D322" s="508" t="s">
        <v>315</v>
      </c>
      <c r="E322" s="393" t="s">
        <v>523</v>
      </c>
      <c r="F322" s="393" t="s">
        <v>525</v>
      </c>
      <c r="G322" s="460" t="s">
        <v>534</v>
      </c>
      <c r="H322" s="393" t="s">
        <v>526</v>
      </c>
      <c r="I322" s="460" t="s">
        <v>535</v>
      </c>
      <c r="J322" s="393" t="s">
        <v>527</v>
      </c>
      <c r="K322" s="460" t="s">
        <v>536</v>
      </c>
      <c r="L322" s="393" t="s">
        <v>528</v>
      </c>
      <c r="M322" s="460" t="s">
        <v>537</v>
      </c>
      <c r="N322" s="393" t="s">
        <v>529</v>
      </c>
      <c r="O322" s="460" t="s">
        <v>538</v>
      </c>
      <c r="P322" s="393" t="s">
        <v>530</v>
      </c>
      <c r="Q322" s="460" t="s">
        <v>539</v>
      </c>
      <c r="R322" s="393" t="s">
        <v>531</v>
      </c>
      <c r="S322" s="460" t="s">
        <v>540</v>
      </c>
      <c r="T322" s="393" t="s">
        <v>532</v>
      </c>
      <c r="U322" s="460" t="s">
        <v>541</v>
      </c>
      <c r="V322" s="393" t="s">
        <v>533</v>
      </c>
      <c r="W322" s="460" t="s">
        <v>542</v>
      </c>
      <c r="X322" s="10"/>
      <c r="Y322" s="393" t="s">
        <v>543</v>
      </c>
      <c r="Z322" s="10" t="s">
        <v>309</v>
      </c>
      <c r="AA322" s="396" t="s">
        <v>7</v>
      </c>
      <c r="AB322"/>
    </row>
    <row r="323" spans="1:33">
      <c r="A323" s="75" t="s">
        <v>449</v>
      </c>
      <c r="B323" s="11" t="s">
        <v>410</v>
      </c>
      <c r="C323" s="31">
        <v>676</v>
      </c>
      <c r="D323" s="31">
        <v>676</v>
      </c>
      <c r="E323" s="14">
        <v>149.52500000000001</v>
      </c>
      <c r="F323" s="14">
        <v>202.11600000000001</v>
      </c>
      <c r="G323" s="14">
        <f>F323-E323</f>
        <v>52.591000000000008</v>
      </c>
      <c r="H323" s="14">
        <v>252.86799999999999</v>
      </c>
      <c r="I323" s="14">
        <f>H323-F323</f>
        <v>50.751999999999981</v>
      </c>
      <c r="J323" s="14">
        <v>301.24599999999998</v>
      </c>
      <c r="K323" s="25">
        <f t="shared" ref="K323:K347" si="82">J323-H323</f>
        <v>48.377999999999986</v>
      </c>
      <c r="L323" s="14">
        <v>359.63200000000001</v>
      </c>
      <c r="M323" s="34">
        <f t="shared" ref="M323:M347" si="83">L323-J323</f>
        <v>58.386000000000024</v>
      </c>
      <c r="N323" s="14">
        <v>409.27199999999999</v>
      </c>
      <c r="O323" s="34">
        <f t="shared" ref="O323:O347" si="84">N323-L323</f>
        <v>49.639999999999986</v>
      </c>
      <c r="P323" s="14">
        <v>452.78300000000002</v>
      </c>
      <c r="Q323" s="25">
        <f t="shared" ref="Q323:Q347" si="85">P323-N323</f>
        <v>43.511000000000024</v>
      </c>
      <c r="R323" s="14">
        <v>503.322</v>
      </c>
      <c r="S323" s="34">
        <f t="shared" ref="S323:S347" si="86">R323-P323</f>
        <v>50.538999999999987</v>
      </c>
      <c r="T323" s="14"/>
      <c r="U323" s="14"/>
      <c r="V323" s="14"/>
      <c r="W323" s="14"/>
      <c r="X323" s="14"/>
      <c r="Y323" s="25">
        <f t="shared" ref="Y323:Y346" si="87">E323+G323+I323+K323+M323+O323+Q323+S323+U323+W323</f>
        <v>503.322</v>
      </c>
      <c r="Z323" s="26">
        <f t="shared" ref="Z323:Z346" si="88">(Y323/C323)*100</f>
        <v>74.455917159763317</v>
      </c>
      <c r="AA323" s="26">
        <f t="shared" ref="AA323:AA346" si="89">(Y323/D323)*100</f>
        <v>74.455917159763317</v>
      </c>
      <c r="AB323"/>
      <c r="AG323" s="84"/>
    </row>
    <row r="324" spans="1:33">
      <c r="B324" s="11" t="s">
        <v>325</v>
      </c>
      <c r="C324" s="31">
        <v>20</v>
      </c>
      <c r="D324" s="31">
        <v>20</v>
      </c>
      <c r="E324" s="34"/>
      <c r="F324" s="34"/>
      <c r="G324" s="14">
        <f t="shared" ref="G324:G347" si="90">F324-E324</f>
        <v>0</v>
      </c>
      <c r="H324" s="14"/>
      <c r="I324" s="14">
        <f t="shared" ref="I324:I347" si="91">H324-F324</f>
        <v>0</v>
      </c>
      <c r="J324" s="14"/>
      <c r="K324" s="25">
        <f t="shared" si="82"/>
        <v>0</v>
      </c>
      <c r="L324" s="14"/>
      <c r="M324" s="34">
        <f t="shared" si="83"/>
        <v>0</v>
      </c>
      <c r="N324" s="14"/>
      <c r="O324" s="34">
        <f t="shared" si="84"/>
        <v>0</v>
      </c>
      <c r="P324" s="14"/>
      <c r="Q324" s="25">
        <f t="shared" si="85"/>
        <v>0</v>
      </c>
      <c r="R324" s="14"/>
      <c r="S324" s="34">
        <f t="shared" si="86"/>
        <v>0</v>
      </c>
      <c r="T324" s="14"/>
      <c r="U324" s="14"/>
      <c r="V324" s="14"/>
      <c r="W324" s="14"/>
      <c r="X324" s="14"/>
      <c r="Y324" s="25">
        <f t="shared" si="87"/>
        <v>0</v>
      </c>
      <c r="Z324" s="26">
        <f t="shared" si="88"/>
        <v>0</v>
      </c>
      <c r="AA324" s="26">
        <f t="shared" si="89"/>
        <v>0</v>
      </c>
      <c r="AB324"/>
      <c r="AG324" s="84"/>
    </row>
    <row r="325" spans="1:33">
      <c r="A325"/>
      <c r="B325" s="11" t="s">
        <v>326</v>
      </c>
      <c r="C325" s="31">
        <v>213</v>
      </c>
      <c r="D325" s="31">
        <v>213</v>
      </c>
      <c r="E325" s="34">
        <v>54.237000000000002</v>
      </c>
      <c r="F325" s="34">
        <v>73.263999999999996</v>
      </c>
      <c r="G325" s="14">
        <f t="shared" si="90"/>
        <v>19.026999999999994</v>
      </c>
      <c r="H325" s="14">
        <v>91.585999999999999</v>
      </c>
      <c r="I325" s="14">
        <f t="shared" si="91"/>
        <v>18.322000000000003</v>
      </c>
      <c r="J325" s="14">
        <v>109.464</v>
      </c>
      <c r="K325" s="25">
        <f t="shared" si="82"/>
        <v>17.878</v>
      </c>
      <c r="L325" s="14">
        <v>130.452</v>
      </c>
      <c r="M325" s="34">
        <f t="shared" si="83"/>
        <v>20.988</v>
      </c>
      <c r="N325" s="14">
        <v>148.44399999999999</v>
      </c>
      <c r="O325" s="34">
        <f t="shared" si="84"/>
        <v>17.99199999999999</v>
      </c>
      <c r="P325" s="14">
        <v>164.114</v>
      </c>
      <c r="Q325" s="25">
        <f t="shared" si="85"/>
        <v>15.670000000000016</v>
      </c>
      <c r="R325" s="14">
        <v>182.33500000000001</v>
      </c>
      <c r="S325" s="34">
        <f t="shared" si="86"/>
        <v>18.221000000000004</v>
      </c>
      <c r="T325" s="14"/>
      <c r="U325" s="14"/>
      <c r="V325" s="14"/>
      <c r="W325" s="14"/>
      <c r="X325" s="14"/>
      <c r="Y325" s="25">
        <f t="shared" si="87"/>
        <v>182.33500000000001</v>
      </c>
      <c r="Z325" s="26">
        <f t="shared" si="88"/>
        <v>85.603286384976528</v>
      </c>
      <c r="AA325" s="26">
        <f t="shared" si="89"/>
        <v>85.603286384976528</v>
      </c>
      <c r="AB325"/>
      <c r="AC325"/>
      <c r="AG325" s="84"/>
    </row>
    <row r="326" spans="1:33">
      <c r="A326"/>
      <c r="B326" s="11" t="s">
        <v>327</v>
      </c>
      <c r="C326" s="31">
        <v>91</v>
      </c>
      <c r="D326" s="31">
        <v>91</v>
      </c>
      <c r="E326" s="34">
        <v>23.245999999999999</v>
      </c>
      <c r="F326" s="34">
        <v>31.401</v>
      </c>
      <c r="G326" s="14">
        <f t="shared" si="90"/>
        <v>8.1550000000000011</v>
      </c>
      <c r="H326" s="14">
        <v>39.253999999999998</v>
      </c>
      <c r="I326" s="14">
        <f t="shared" si="91"/>
        <v>7.852999999999998</v>
      </c>
      <c r="J326" s="14">
        <v>47.012999999999998</v>
      </c>
      <c r="K326" s="25">
        <f t="shared" si="82"/>
        <v>7.7590000000000003</v>
      </c>
      <c r="L326" s="14">
        <v>56.009</v>
      </c>
      <c r="M326" s="34">
        <f t="shared" si="83"/>
        <v>8.9960000000000022</v>
      </c>
      <c r="N326" s="14">
        <v>63.72</v>
      </c>
      <c r="O326" s="34">
        <f t="shared" si="84"/>
        <v>7.7109999999999985</v>
      </c>
      <c r="P326" s="14">
        <v>70.436000000000007</v>
      </c>
      <c r="Q326" s="25">
        <f t="shared" si="85"/>
        <v>6.7160000000000082</v>
      </c>
      <c r="R326" s="14">
        <v>78.245999999999995</v>
      </c>
      <c r="S326" s="34">
        <f t="shared" si="86"/>
        <v>7.8099999999999881</v>
      </c>
      <c r="T326" s="14"/>
      <c r="U326" s="14"/>
      <c r="V326" s="14"/>
      <c r="W326" s="14"/>
      <c r="X326" s="14"/>
      <c r="Y326" s="25">
        <f t="shared" si="87"/>
        <v>78.245999999999995</v>
      </c>
      <c r="Z326" s="26">
        <f t="shared" si="88"/>
        <v>85.984615384615381</v>
      </c>
      <c r="AA326" s="26">
        <f t="shared" si="89"/>
        <v>85.984615384615381</v>
      </c>
      <c r="AB326"/>
      <c r="AC326"/>
      <c r="AG326" s="84"/>
    </row>
    <row r="327" spans="1:33">
      <c r="A327"/>
      <c r="B327" s="11" t="s">
        <v>328</v>
      </c>
      <c r="C327" s="31">
        <v>5</v>
      </c>
      <c r="D327" s="31">
        <v>5</v>
      </c>
      <c r="E327" s="34"/>
      <c r="F327" s="34">
        <v>0.55800000000000005</v>
      </c>
      <c r="G327" s="14">
        <f t="shared" si="90"/>
        <v>0.55800000000000005</v>
      </c>
      <c r="H327" s="14">
        <v>0.55800000000000005</v>
      </c>
      <c r="I327" s="14">
        <f t="shared" si="91"/>
        <v>0</v>
      </c>
      <c r="J327" s="14">
        <v>0.55800000000000005</v>
      </c>
      <c r="K327" s="25">
        <f t="shared" si="82"/>
        <v>0</v>
      </c>
      <c r="L327" s="14">
        <v>1.1639999999999999</v>
      </c>
      <c r="M327" s="34">
        <f t="shared" si="83"/>
        <v>0.60599999999999987</v>
      </c>
      <c r="N327" s="14">
        <v>1.1639999999999999</v>
      </c>
      <c r="O327" s="34">
        <f t="shared" si="84"/>
        <v>0</v>
      </c>
      <c r="P327" s="14">
        <v>1.1639999999999999</v>
      </c>
      <c r="Q327" s="25">
        <f t="shared" si="85"/>
        <v>0</v>
      </c>
      <c r="R327" s="14">
        <v>1.73</v>
      </c>
      <c r="S327" s="34">
        <f t="shared" si="86"/>
        <v>0.56600000000000006</v>
      </c>
      <c r="T327" s="14"/>
      <c r="U327" s="14"/>
      <c r="V327" s="14"/>
      <c r="W327" s="14"/>
      <c r="X327" s="14"/>
      <c r="Y327" s="25">
        <f t="shared" si="87"/>
        <v>1.73</v>
      </c>
      <c r="Z327" s="26">
        <f t="shared" si="88"/>
        <v>34.599999999999994</v>
      </c>
      <c r="AA327" s="26">
        <f t="shared" si="89"/>
        <v>34.599999999999994</v>
      </c>
      <c r="AB327"/>
      <c r="AC327"/>
      <c r="AG327" s="84"/>
    </row>
    <row r="328" spans="1:33">
      <c r="A328"/>
      <c r="B328" s="11" t="s">
        <v>329</v>
      </c>
      <c r="C328" s="31">
        <v>2</v>
      </c>
      <c r="D328" s="31">
        <v>3</v>
      </c>
      <c r="E328" s="34"/>
      <c r="F328" s="34">
        <v>2.0521600000000002</v>
      </c>
      <c r="G328" s="14">
        <f t="shared" si="90"/>
        <v>2.0521600000000002</v>
      </c>
      <c r="H328" s="14">
        <v>2.0521600000000002</v>
      </c>
      <c r="I328" s="14">
        <f t="shared" si="91"/>
        <v>0</v>
      </c>
      <c r="J328" s="14">
        <v>2.0521600000000002</v>
      </c>
      <c r="K328" s="25">
        <f t="shared" si="82"/>
        <v>0</v>
      </c>
      <c r="L328" s="14">
        <v>2.0521600000000002</v>
      </c>
      <c r="M328" s="34">
        <f t="shared" si="83"/>
        <v>0</v>
      </c>
      <c r="N328" s="14">
        <v>2.0521600000000002</v>
      </c>
      <c r="O328" s="34">
        <f t="shared" si="84"/>
        <v>0</v>
      </c>
      <c r="P328" s="14">
        <v>2.0521600000000002</v>
      </c>
      <c r="Q328" s="25">
        <f t="shared" si="85"/>
        <v>0</v>
      </c>
      <c r="R328" s="14">
        <v>2.0521600000000002</v>
      </c>
      <c r="S328" s="34">
        <f t="shared" si="86"/>
        <v>0</v>
      </c>
      <c r="T328" s="14"/>
      <c r="U328" s="14"/>
      <c r="V328" s="14"/>
      <c r="W328" s="14"/>
      <c r="X328" s="14"/>
      <c r="Y328" s="25">
        <f t="shared" si="87"/>
        <v>2.0521600000000002</v>
      </c>
      <c r="Z328" s="26">
        <f t="shared" si="88"/>
        <v>102.608</v>
      </c>
      <c r="AA328" s="26">
        <f t="shared" si="89"/>
        <v>68.405333333333346</v>
      </c>
      <c r="AB328"/>
      <c r="AC328"/>
      <c r="AG328" s="84"/>
    </row>
    <row r="329" spans="1:33">
      <c r="A329"/>
      <c r="B329" s="11" t="s">
        <v>411</v>
      </c>
      <c r="C329" s="31">
        <v>1</v>
      </c>
      <c r="D329" s="31">
        <v>1</v>
      </c>
      <c r="E329" s="34"/>
      <c r="F329" s="34"/>
      <c r="G329" s="14"/>
      <c r="H329" s="14"/>
      <c r="I329" s="14">
        <f t="shared" si="91"/>
        <v>0</v>
      </c>
      <c r="J329" s="14"/>
      <c r="K329" s="25">
        <f t="shared" si="82"/>
        <v>0</v>
      </c>
      <c r="L329" s="14"/>
      <c r="M329" s="34">
        <f t="shared" si="83"/>
        <v>0</v>
      </c>
      <c r="N329" s="14"/>
      <c r="O329" s="34">
        <f t="shared" si="84"/>
        <v>0</v>
      </c>
      <c r="P329" s="14"/>
      <c r="Q329" s="25">
        <f t="shared" si="85"/>
        <v>0</v>
      </c>
      <c r="R329" s="14"/>
      <c r="S329" s="34">
        <f t="shared" si="86"/>
        <v>0</v>
      </c>
      <c r="T329" s="14"/>
      <c r="U329" s="14"/>
      <c r="V329" s="14"/>
      <c r="W329" s="14"/>
      <c r="X329" s="14"/>
      <c r="Y329" s="25">
        <f t="shared" si="87"/>
        <v>0</v>
      </c>
      <c r="Z329" s="26">
        <f t="shared" si="88"/>
        <v>0</v>
      </c>
      <c r="AA329" s="26">
        <f t="shared" si="89"/>
        <v>0</v>
      </c>
      <c r="AB329"/>
      <c r="AC329"/>
      <c r="AG329" s="84"/>
    </row>
    <row r="330" spans="1:33">
      <c r="A330"/>
      <c r="B330" s="11" t="s">
        <v>330</v>
      </c>
      <c r="C330" s="31">
        <v>15</v>
      </c>
      <c r="D330" s="31">
        <v>14</v>
      </c>
      <c r="E330" s="34"/>
      <c r="F330" s="34"/>
      <c r="G330" s="14"/>
      <c r="H330" s="14"/>
      <c r="I330" s="14">
        <f t="shared" si="91"/>
        <v>0</v>
      </c>
      <c r="J330" s="14"/>
      <c r="K330" s="25">
        <f t="shared" si="82"/>
        <v>0</v>
      </c>
      <c r="L330" s="14"/>
      <c r="M330" s="34">
        <f t="shared" si="83"/>
        <v>0</v>
      </c>
      <c r="N330" s="14"/>
      <c r="O330" s="34">
        <f t="shared" si="84"/>
        <v>0</v>
      </c>
      <c r="P330" s="14"/>
      <c r="Q330" s="25">
        <f t="shared" si="85"/>
        <v>0</v>
      </c>
      <c r="R330" s="14"/>
      <c r="S330" s="34">
        <f t="shared" si="86"/>
        <v>0</v>
      </c>
      <c r="T330" s="14"/>
      <c r="U330" s="14"/>
      <c r="V330" s="14"/>
      <c r="W330" s="14"/>
      <c r="X330" s="14"/>
      <c r="Y330" s="25">
        <f t="shared" si="87"/>
        <v>0</v>
      </c>
      <c r="Z330" s="26">
        <f t="shared" si="88"/>
        <v>0</v>
      </c>
      <c r="AA330" s="26">
        <f t="shared" si="89"/>
        <v>0</v>
      </c>
      <c r="AB330"/>
      <c r="AC330"/>
      <c r="AG330" s="84"/>
    </row>
    <row r="331" spans="1:33" ht="32.25" customHeight="1">
      <c r="A331"/>
      <c r="B331" s="471" t="s">
        <v>558</v>
      </c>
      <c r="C331" s="33">
        <v>200</v>
      </c>
      <c r="D331" s="33">
        <v>350</v>
      </c>
      <c r="E331" s="34">
        <v>93.385220000000004</v>
      </c>
      <c r="F331" s="34">
        <v>93.718220000000002</v>
      </c>
      <c r="G331" s="34">
        <f t="shared" si="90"/>
        <v>0.33299999999999841</v>
      </c>
      <c r="H331" s="34">
        <v>138.88221999999999</v>
      </c>
      <c r="I331" s="34">
        <f t="shared" si="91"/>
        <v>45.163999999999987</v>
      </c>
      <c r="J331" s="34">
        <v>152.40322</v>
      </c>
      <c r="K331" s="25">
        <f t="shared" si="82"/>
        <v>13.521000000000015</v>
      </c>
      <c r="L331" s="34">
        <v>184.80322000000001</v>
      </c>
      <c r="M331" s="34">
        <f t="shared" si="83"/>
        <v>32.400000000000006</v>
      </c>
      <c r="N331" s="34">
        <v>286.34370000000001</v>
      </c>
      <c r="O331" s="34">
        <f t="shared" si="84"/>
        <v>101.54048</v>
      </c>
      <c r="P331" s="34">
        <v>315.10770000000002</v>
      </c>
      <c r="Q331" s="25">
        <f t="shared" si="85"/>
        <v>28.76400000000001</v>
      </c>
      <c r="R331" s="34">
        <v>331.97311000000002</v>
      </c>
      <c r="S331" s="34">
        <f t="shared" si="86"/>
        <v>16.865409999999997</v>
      </c>
      <c r="T331" s="34"/>
      <c r="U331" s="34"/>
      <c r="V331" s="34"/>
      <c r="W331" s="34"/>
      <c r="X331" s="34"/>
      <c r="Y331" s="25">
        <f t="shared" si="87"/>
        <v>331.97311000000002</v>
      </c>
      <c r="Z331" s="26">
        <f t="shared" si="88"/>
        <v>165.98655500000001</v>
      </c>
      <c r="AA331" s="26">
        <f t="shared" si="89"/>
        <v>94.849460000000008</v>
      </c>
      <c r="AB331"/>
      <c r="AC331"/>
      <c r="AG331" s="84"/>
    </row>
    <row r="332" spans="1:33">
      <c r="A332"/>
      <c r="B332" s="11" t="s">
        <v>352</v>
      </c>
      <c r="C332" s="31">
        <v>1400</v>
      </c>
      <c r="D332" s="31">
        <v>1400</v>
      </c>
      <c r="E332" s="34"/>
      <c r="F332" s="34">
        <v>387.738</v>
      </c>
      <c r="G332" s="14">
        <f t="shared" si="90"/>
        <v>387.738</v>
      </c>
      <c r="H332" s="14">
        <v>387.738</v>
      </c>
      <c r="I332" s="14">
        <f t="shared" si="91"/>
        <v>0</v>
      </c>
      <c r="J332" s="14">
        <v>387.738</v>
      </c>
      <c r="K332" s="25">
        <f t="shared" si="82"/>
        <v>0</v>
      </c>
      <c r="L332" s="14">
        <v>667.08199999999999</v>
      </c>
      <c r="M332" s="34">
        <f t="shared" si="83"/>
        <v>279.34399999999999</v>
      </c>
      <c r="N332" s="14">
        <v>667.08199999999999</v>
      </c>
      <c r="O332" s="34">
        <f t="shared" si="84"/>
        <v>0</v>
      </c>
      <c r="P332" s="14">
        <v>667.08199999999999</v>
      </c>
      <c r="Q332" s="25">
        <f t="shared" si="85"/>
        <v>0</v>
      </c>
      <c r="R332" s="14">
        <v>974.50099999999998</v>
      </c>
      <c r="S332" s="34">
        <f t="shared" si="86"/>
        <v>307.41899999999998</v>
      </c>
      <c r="T332" s="14"/>
      <c r="U332" s="14"/>
      <c r="V332" s="14"/>
      <c r="W332" s="14"/>
      <c r="X332" s="14"/>
      <c r="Y332" s="25">
        <f t="shared" si="87"/>
        <v>974.50099999999998</v>
      </c>
      <c r="Z332" s="26">
        <f t="shared" si="88"/>
        <v>69.607214285714278</v>
      </c>
      <c r="AA332" s="26">
        <f t="shared" si="89"/>
        <v>69.607214285714278</v>
      </c>
      <c r="AB332"/>
      <c r="AC332"/>
      <c r="AG332" s="84"/>
    </row>
    <row r="333" spans="1:33">
      <c r="A333"/>
      <c r="B333" s="11" t="s">
        <v>450</v>
      </c>
      <c r="C333" s="31">
        <v>3100</v>
      </c>
      <c r="D333" s="31">
        <v>3100</v>
      </c>
      <c r="E333" s="34">
        <v>975.65300000000002</v>
      </c>
      <c r="F333" s="34">
        <v>1168.1569999999999</v>
      </c>
      <c r="G333" s="14">
        <f t="shared" si="90"/>
        <v>192.50399999999991</v>
      </c>
      <c r="H333" s="14">
        <v>1341.1790000000001</v>
      </c>
      <c r="I333" s="14">
        <f t="shared" si="91"/>
        <v>173.02200000000016</v>
      </c>
      <c r="J333" s="14">
        <v>1513.528</v>
      </c>
      <c r="K333" s="25">
        <f t="shared" si="82"/>
        <v>172.34899999999993</v>
      </c>
      <c r="L333" s="14">
        <v>1683.6780000000001</v>
      </c>
      <c r="M333" s="34">
        <f t="shared" si="83"/>
        <v>170.15000000000009</v>
      </c>
      <c r="N333" s="14">
        <v>1853.828</v>
      </c>
      <c r="O333" s="34">
        <f t="shared" si="84"/>
        <v>170.14999999999986</v>
      </c>
      <c r="P333" s="14">
        <v>2047.9780000000001</v>
      </c>
      <c r="Q333" s="25">
        <f t="shared" si="85"/>
        <v>194.15000000000009</v>
      </c>
      <c r="R333" s="14">
        <v>2272.5929999999998</v>
      </c>
      <c r="S333" s="34">
        <f t="shared" si="86"/>
        <v>224.61499999999978</v>
      </c>
      <c r="T333" s="14"/>
      <c r="U333" s="14"/>
      <c r="V333" s="14"/>
      <c r="W333" s="14"/>
      <c r="X333" s="14"/>
      <c r="Y333" s="25">
        <f t="shared" si="87"/>
        <v>2272.5929999999998</v>
      </c>
      <c r="Z333" s="26">
        <f t="shared" si="88"/>
        <v>73.309451612903217</v>
      </c>
      <c r="AA333" s="26">
        <f t="shared" si="89"/>
        <v>73.309451612903217</v>
      </c>
      <c r="AB333"/>
      <c r="AC333"/>
      <c r="AG333" s="84"/>
    </row>
    <row r="334" spans="1:33">
      <c r="A334"/>
      <c r="B334" s="52" t="s">
        <v>431</v>
      </c>
      <c r="C334" s="31">
        <v>10</v>
      </c>
      <c r="D334" s="31">
        <v>20</v>
      </c>
      <c r="E334" s="34">
        <v>6.5187999999999997</v>
      </c>
      <c r="F334" s="34">
        <v>7.0187999999999997</v>
      </c>
      <c r="G334" s="14">
        <f t="shared" si="90"/>
        <v>0.5</v>
      </c>
      <c r="H334" s="14">
        <v>7.5187999999999997</v>
      </c>
      <c r="I334" s="14">
        <f t="shared" si="91"/>
        <v>0.5</v>
      </c>
      <c r="J334" s="14">
        <v>8.0188000000000006</v>
      </c>
      <c r="K334" s="25">
        <f t="shared" si="82"/>
        <v>0.50000000000000089</v>
      </c>
      <c r="L334" s="14">
        <v>8.5188000000000006</v>
      </c>
      <c r="M334" s="34">
        <f t="shared" si="83"/>
        <v>0.5</v>
      </c>
      <c r="N334" s="14">
        <v>10.75887</v>
      </c>
      <c r="O334" s="34">
        <f t="shared" si="84"/>
        <v>2.2400699999999993</v>
      </c>
      <c r="P334" s="14">
        <v>10.75887</v>
      </c>
      <c r="Q334" s="25">
        <f t="shared" si="85"/>
        <v>0</v>
      </c>
      <c r="R334" s="14">
        <v>11.058870000000001</v>
      </c>
      <c r="S334" s="34">
        <f t="shared" si="86"/>
        <v>0.30000000000000071</v>
      </c>
      <c r="T334" s="14"/>
      <c r="U334" s="14"/>
      <c r="V334" s="14"/>
      <c r="W334" s="14"/>
      <c r="X334" s="14"/>
      <c r="Y334" s="25">
        <f t="shared" si="87"/>
        <v>11.058870000000001</v>
      </c>
      <c r="Z334" s="26">
        <f t="shared" si="88"/>
        <v>110.5887</v>
      </c>
      <c r="AA334" s="26">
        <f t="shared" si="89"/>
        <v>55.294350000000001</v>
      </c>
      <c r="AB334"/>
      <c r="AC334"/>
      <c r="AG334" s="84"/>
    </row>
    <row r="335" spans="1:33">
      <c r="A335"/>
      <c r="B335" s="11" t="s">
        <v>451</v>
      </c>
      <c r="C335" s="31">
        <v>200</v>
      </c>
      <c r="D335" s="31">
        <v>200</v>
      </c>
      <c r="E335" s="34">
        <v>31.059229999999999</v>
      </c>
      <c r="F335" s="34">
        <v>43.384720000000002</v>
      </c>
      <c r="G335" s="14">
        <f t="shared" si="90"/>
        <v>12.325490000000002</v>
      </c>
      <c r="H335" s="14">
        <v>54.304720000000003</v>
      </c>
      <c r="I335" s="14">
        <f t="shared" si="91"/>
        <v>10.920000000000002</v>
      </c>
      <c r="J335" s="14">
        <v>67.104370000000003</v>
      </c>
      <c r="K335" s="25">
        <f t="shared" si="82"/>
        <v>12.79965</v>
      </c>
      <c r="L335" s="14">
        <v>80.834370000000007</v>
      </c>
      <c r="M335" s="34">
        <f t="shared" si="83"/>
        <v>13.730000000000004</v>
      </c>
      <c r="N335" s="14">
        <v>90.314369999999997</v>
      </c>
      <c r="O335" s="34">
        <f t="shared" si="84"/>
        <v>9.4799999999999898</v>
      </c>
      <c r="P335" s="14">
        <v>101.31437</v>
      </c>
      <c r="Q335" s="25">
        <f t="shared" si="85"/>
        <v>11</v>
      </c>
      <c r="R335" s="14">
        <v>171.38896</v>
      </c>
      <c r="S335" s="34">
        <f t="shared" si="86"/>
        <v>70.074590000000001</v>
      </c>
      <c r="T335" s="14"/>
      <c r="U335" s="14"/>
      <c r="V335" s="14"/>
      <c r="W335" s="14"/>
      <c r="X335" s="14"/>
      <c r="Y335" s="25">
        <f t="shared" si="87"/>
        <v>171.38896</v>
      </c>
      <c r="Z335" s="26">
        <f t="shared" si="88"/>
        <v>85.694479999999999</v>
      </c>
      <c r="AA335" s="26">
        <f t="shared" si="89"/>
        <v>85.694479999999999</v>
      </c>
      <c r="AB335"/>
      <c r="AC335"/>
      <c r="AG335" s="84"/>
    </row>
    <row r="336" spans="1:33">
      <c r="A336"/>
      <c r="B336" s="11" t="s">
        <v>332</v>
      </c>
      <c r="C336" s="31">
        <v>8</v>
      </c>
      <c r="D336" s="31">
        <v>8</v>
      </c>
      <c r="E336" s="34">
        <v>1.74742</v>
      </c>
      <c r="F336" s="34">
        <v>1.74742</v>
      </c>
      <c r="G336" s="14">
        <f t="shared" si="90"/>
        <v>0</v>
      </c>
      <c r="H336" s="14">
        <v>2.40273</v>
      </c>
      <c r="I336" s="14">
        <f t="shared" si="91"/>
        <v>0.65531000000000006</v>
      </c>
      <c r="J336" s="14">
        <v>2.40273</v>
      </c>
      <c r="K336" s="25">
        <f t="shared" si="82"/>
        <v>0</v>
      </c>
      <c r="L336" s="14">
        <v>2.40273</v>
      </c>
      <c r="M336" s="34">
        <f t="shared" si="83"/>
        <v>0</v>
      </c>
      <c r="N336" s="14">
        <v>2.7476699999999998</v>
      </c>
      <c r="O336" s="34">
        <f t="shared" si="84"/>
        <v>0.3449399999999998</v>
      </c>
      <c r="P336" s="14">
        <v>3.60067</v>
      </c>
      <c r="Q336" s="25">
        <f t="shared" si="85"/>
        <v>0.8530000000000002</v>
      </c>
      <c r="R336" s="14">
        <v>3.9329000000000001</v>
      </c>
      <c r="S336" s="34">
        <f t="shared" si="86"/>
        <v>0.33223000000000003</v>
      </c>
      <c r="T336" s="14"/>
      <c r="U336" s="14"/>
      <c r="V336" s="14"/>
      <c r="W336" s="14"/>
      <c r="X336" s="14"/>
      <c r="Y336" s="25">
        <f t="shared" si="87"/>
        <v>3.9329000000000001</v>
      </c>
      <c r="Z336" s="26">
        <f t="shared" si="88"/>
        <v>49.161250000000003</v>
      </c>
      <c r="AA336" s="26">
        <f t="shared" si="89"/>
        <v>49.161250000000003</v>
      </c>
      <c r="AB336"/>
      <c r="AC336"/>
      <c r="AG336" s="84"/>
    </row>
    <row r="337" spans="1:33">
      <c r="A337"/>
      <c r="B337" s="11" t="s">
        <v>412</v>
      </c>
      <c r="C337" s="31">
        <v>30</v>
      </c>
      <c r="D337" s="31">
        <v>30</v>
      </c>
      <c r="E337" s="34">
        <v>3.1488</v>
      </c>
      <c r="F337" s="34">
        <v>4.7096</v>
      </c>
      <c r="G337" s="14">
        <f t="shared" si="90"/>
        <v>1.5608</v>
      </c>
      <c r="H337" s="14">
        <v>6.2602000000000002</v>
      </c>
      <c r="I337" s="14">
        <f t="shared" si="91"/>
        <v>1.5506000000000002</v>
      </c>
      <c r="J337" s="14">
        <v>7.8175999999999997</v>
      </c>
      <c r="K337" s="25">
        <f t="shared" si="82"/>
        <v>1.5573999999999995</v>
      </c>
      <c r="L337" s="14">
        <v>16.228200000000001</v>
      </c>
      <c r="M337" s="34">
        <f t="shared" si="83"/>
        <v>8.4106000000000023</v>
      </c>
      <c r="N337" s="14">
        <v>17.819600000000001</v>
      </c>
      <c r="O337" s="34">
        <f t="shared" si="84"/>
        <v>1.5914000000000001</v>
      </c>
      <c r="P337" s="14">
        <v>19.4178</v>
      </c>
      <c r="Q337" s="25">
        <f t="shared" si="85"/>
        <v>1.5981999999999985</v>
      </c>
      <c r="R337" s="14">
        <v>21.019400000000001</v>
      </c>
      <c r="S337" s="34">
        <f t="shared" si="86"/>
        <v>1.6016000000000012</v>
      </c>
      <c r="T337" s="14"/>
      <c r="U337" s="14"/>
      <c r="V337" s="14"/>
      <c r="W337" s="14"/>
      <c r="X337" s="14"/>
      <c r="Y337" s="25">
        <f t="shared" si="87"/>
        <v>21.019400000000001</v>
      </c>
      <c r="Z337" s="26">
        <f t="shared" si="88"/>
        <v>70.064666666666682</v>
      </c>
      <c r="AA337" s="26">
        <f t="shared" si="89"/>
        <v>70.064666666666682</v>
      </c>
      <c r="AB337"/>
      <c r="AC337"/>
      <c r="AG337" s="84"/>
    </row>
    <row r="338" spans="1:33">
      <c r="A338"/>
      <c r="B338" s="11" t="s">
        <v>333</v>
      </c>
      <c r="C338" s="31">
        <v>20</v>
      </c>
      <c r="D338" s="31">
        <v>20</v>
      </c>
      <c r="E338" s="34">
        <v>3.3219500000000002</v>
      </c>
      <c r="F338" s="34">
        <v>4.6649500000000002</v>
      </c>
      <c r="G338" s="14">
        <f t="shared" si="90"/>
        <v>1.343</v>
      </c>
      <c r="H338" s="14">
        <v>4.8525</v>
      </c>
      <c r="I338" s="14">
        <f t="shared" si="91"/>
        <v>0.18754999999999988</v>
      </c>
      <c r="J338" s="14">
        <v>5.9983700000000004</v>
      </c>
      <c r="K338" s="25">
        <f t="shared" si="82"/>
        <v>1.1458700000000004</v>
      </c>
      <c r="L338" s="14">
        <v>6.6650799999999997</v>
      </c>
      <c r="M338" s="34">
        <f t="shared" si="83"/>
        <v>0.66670999999999925</v>
      </c>
      <c r="N338" s="14">
        <v>7.3317899999999998</v>
      </c>
      <c r="O338" s="34">
        <f t="shared" si="84"/>
        <v>0.66671000000000014</v>
      </c>
      <c r="P338" s="14">
        <v>7.9984999999999999</v>
      </c>
      <c r="Q338" s="25">
        <f t="shared" si="85"/>
        <v>0.66671000000000014</v>
      </c>
      <c r="R338" s="14">
        <v>8.6655099999999994</v>
      </c>
      <c r="S338" s="34">
        <f t="shared" si="86"/>
        <v>0.66700999999999944</v>
      </c>
      <c r="T338" s="14"/>
      <c r="U338" s="14"/>
      <c r="V338" s="14"/>
      <c r="W338" s="14"/>
      <c r="X338" s="14"/>
      <c r="Y338" s="25">
        <f t="shared" si="87"/>
        <v>8.6655099999999994</v>
      </c>
      <c r="Z338" s="26">
        <f t="shared" si="88"/>
        <v>43.327549999999995</v>
      </c>
      <c r="AA338" s="26">
        <f t="shared" si="89"/>
        <v>43.327549999999995</v>
      </c>
      <c r="AB338"/>
      <c r="AC338"/>
      <c r="AG338" s="84"/>
    </row>
    <row r="339" spans="1:33">
      <c r="A339"/>
      <c r="B339" s="11" t="s">
        <v>334</v>
      </c>
      <c r="C339" s="31">
        <v>70</v>
      </c>
      <c r="D339" s="31">
        <v>70</v>
      </c>
      <c r="E339" s="34">
        <v>1.7729999999999999</v>
      </c>
      <c r="F339" s="34">
        <v>1.7729999999999999</v>
      </c>
      <c r="G339" s="14"/>
      <c r="H339" s="14">
        <v>1.7729999999999999</v>
      </c>
      <c r="I339" s="14">
        <f t="shared" si="91"/>
        <v>0</v>
      </c>
      <c r="J339" s="14">
        <v>1.7729999999999999</v>
      </c>
      <c r="K339" s="25">
        <f t="shared" si="82"/>
        <v>0</v>
      </c>
      <c r="L339" s="14">
        <v>1.7729999999999999</v>
      </c>
      <c r="M339" s="34">
        <f t="shared" si="83"/>
        <v>0</v>
      </c>
      <c r="N339" s="14">
        <v>1.7729999999999999</v>
      </c>
      <c r="O339" s="34">
        <f t="shared" si="84"/>
        <v>0</v>
      </c>
      <c r="P339" s="14">
        <v>1.7729999999999999</v>
      </c>
      <c r="Q339" s="25">
        <f t="shared" si="85"/>
        <v>0</v>
      </c>
      <c r="R339" s="14">
        <v>1.7729999999999999</v>
      </c>
      <c r="S339" s="34">
        <f t="shared" si="86"/>
        <v>0</v>
      </c>
      <c r="T339" s="14"/>
      <c r="U339" s="14"/>
      <c r="V339" s="14"/>
      <c r="W339" s="14"/>
      <c r="X339" s="14"/>
      <c r="Y339" s="25">
        <f t="shared" si="87"/>
        <v>1.7729999999999999</v>
      </c>
      <c r="Z339" s="26">
        <f t="shared" si="88"/>
        <v>2.5328571428571425</v>
      </c>
      <c r="AA339" s="26">
        <f t="shared" si="89"/>
        <v>2.5328571428571425</v>
      </c>
      <c r="AB339"/>
      <c r="AC339"/>
      <c r="AG339" s="84"/>
    </row>
    <row r="340" spans="1:33">
      <c r="A340"/>
      <c r="B340" s="11" t="s">
        <v>452</v>
      </c>
      <c r="C340" s="31">
        <v>5</v>
      </c>
      <c r="D340" s="31">
        <v>5</v>
      </c>
      <c r="E340" s="34"/>
      <c r="F340" s="34"/>
      <c r="G340" s="14"/>
      <c r="H340" s="34"/>
      <c r="I340" s="14">
        <f t="shared" si="91"/>
        <v>0</v>
      </c>
      <c r="J340" s="34"/>
      <c r="K340" s="25">
        <f t="shared" si="82"/>
        <v>0</v>
      </c>
      <c r="L340" s="34"/>
      <c r="M340" s="34">
        <f t="shared" si="83"/>
        <v>0</v>
      </c>
      <c r="N340" s="34"/>
      <c r="O340" s="34">
        <f t="shared" si="84"/>
        <v>0</v>
      </c>
      <c r="P340" s="34"/>
      <c r="Q340" s="25">
        <f t="shared" si="85"/>
        <v>0</v>
      </c>
      <c r="R340" s="34"/>
      <c r="S340" s="34">
        <f t="shared" si="86"/>
        <v>0</v>
      </c>
      <c r="T340" s="34"/>
      <c r="U340" s="34"/>
      <c r="V340" s="34"/>
      <c r="W340" s="34"/>
      <c r="X340" s="34"/>
      <c r="Y340" s="25">
        <f t="shared" si="87"/>
        <v>0</v>
      </c>
      <c r="Z340" s="26">
        <f t="shared" si="88"/>
        <v>0</v>
      </c>
      <c r="AA340" s="26">
        <f t="shared" si="89"/>
        <v>0</v>
      </c>
      <c r="AB340"/>
      <c r="AC340"/>
      <c r="AG340" s="84"/>
    </row>
    <row r="341" spans="1:33">
      <c r="B341" s="11" t="s">
        <v>319</v>
      </c>
      <c r="C341" s="31">
        <v>10</v>
      </c>
      <c r="D341" s="31">
        <v>10</v>
      </c>
      <c r="E341" s="34"/>
      <c r="F341" s="34"/>
      <c r="G341" s="14"/>
      <c r="H341" s="14"/>
      <c r="I341" s="14">
        <f t="shared" si="91"/>
        <v>0</v>
      </c>
      <c r="J341" s="14">
        <v>1.7</v>
      </c>
      <c r="K341" s="25">
        <f t="shared" si="82"/>
        <v>1.7</v>
      </c>
      <c r="L341" s="14">
        <v>1.7</v>
      </c>
      <c r="M341" s="34">
        <f t="shared" si="83"/>
        <v>0</v>
      </c>
      <c r="N341" s="14">
        <v>1.7</v>
      </c>
      <c r="O341" s="34">
        <f t="shared" si="84"/>
        <v>0</v>
      </c>
      <c r="P341" s="14">
        <v>1.7</v>
      </c>
      <c r="Q341" s="25">
        <f t="shared" si="85"/>
        <v>0</v>
      </c>
      <c r="R341" s="14">
        <v>2.89</v>
      </c>
      <c r="S341" s="34">
        <f t="shared" si="86"/>
        <v>1.1900000000000002</v>
      </c>
      <c r="T341" s="14"/>
      <c r="U341" s="14"/>
      <c r="V341" s="14"/>
      <c r="W341" s="14"/>
      <c r="X341" s="14"/>
      <c r="Y341" s="25">
        <f t="shared" si="87"/>
        <v>2.89</v>
      </c>
      <c r="Z341" s="26">
        <f t="shared" si="88"/>
        <v>28.900000000000002</v>
      </c>
      <c r="AA341" s="26">
        <f t="shared" si="89"/>
        <v>28.900000000000002</v>
      </c>
      <c r="AB341"/>
      <c r="AG341" s="84"/>
    </row>
    <row r="342" spans="1:33">
      <c r="B342" s="11" t="s">
        <v>453</v>
      </c>
      <c r="C342" s="31">
        <v>700</v>
      </c>
      <c r="D342" s="31">
        <v>490</v>
      </c>
      <c r="E342" s="34">
        <v>46.472000000000001</v>
      </c>
      <c r="F342" s="34">
        <v>111.84441</v>
      </c>
      <c r="G342" s="14">
        <f t="shared" si="90"/>
        <v>65.372410000000002</v>
      </c>
      <c r="H342" s="25">
        <v>147.14315999999999</v>
      </c>
      <c r="I342" s="14">
        <f t="shared" si="91"/>
        <v>35.298749999999998</v>
      </c>
      <c r="J342" s="25">
        <v>160.96055999999999</v>
      </c>
      <c r="K342" s="25">
        <f t="shared" si="82"/>
        <v>13.817399999999992</v>
      </c>
      <c r="L342" s="25">
        <v>180.16556</v>
      </c>
      <c r="M342" s="34">
        <f t="shared" si="83"/>
        <v>19.205000000000013</v>
      </c>
      <c r="N342" s="25">
        <v>191.06956</v>
      </c>
      <c r="O342" s="34">
        <f t="shared" si="84"/>
        <v>10.903999999999996</v>
      </c>
      <c r="P342" s="25">
        <v>195.93356</v>
      </c>
      <c r="Q342" s="25">
        <f t="shared" si="85"/>
        <v>4.8640000000000043</v>
      </c>
      <c r="R342" s="25">
        <v>230.54875999999999</v>
      </c>
      <c r="S342" s="34">
        <f t="shared" si="86"/>
        <v>34.615199999999987</v>
      </c>
      <c r="T342" s="25"/>
      <c r="U342" s="25"/>
      <c r="V342" s="25"/>
      <c r="W342" s="25"/>
      <c r="X342" s="25"/>
      <c r="Y342" s="25">
        <f t="shared" si="87"/>
        <v>230.54876000000002</v>
      </c>
      <c r="Z342" s="26">
        <f t="shared" si="88"/>
        <v>32.935537142857143</v>
      </c>
      <c r="AA342" s="26">
        <f t="shared" si="89"/>
        <v>47.050767346938777</v>
      </c>
      <c r="AB342"/>
      <c r="AG342" s="84"/>
    </row>
    <row r="343" spans="1:33" ht="15.75" customHeight="1">
      <c r="B343" s="11" t="s">
        <v>335</v>
      </c>
      <c r="C343" s="33">
        <v>1300</v>
      </c>
      <c r="D343" s="33">
        <v>1298</v>
      </c>
      <c r="E343" s="34">
        <v>311.39064999999999</v>
      </c>
      <c r="F343" s="34">
        <v>397.92075</v>
      </c>
      <c r="G343" s="14">
        <f t="shared" si="90"/>
        <v>86.530100000000004</v>
      </c>
      <c r="H343" s="34">
        <v>529.30304999999998</v>
      </c>
      <c r="I343" s="14">
        <f t="shared" si="91"/>
        <v>131.38229999999999</v>
      </c>
      <c r="J343" s="34">
        <v>638.00905</v>
      </c>
      <c r="K343" s="25">
        <f t="shared" si="82"/>
        <v>108.70600000000002</v>
      </c>
      <c r="L343" s="34">
        <v>802.90644999999995</v>
      </c>
      <c r="M343" s="34">
        <f t="shared" si="83"/>
        <v>164.89739999999995</v>
      </c>
      <c r="N343" s="34">
        <v>821.74770000000001</v>
      </c>
      <c r="O343" s="34">
        <f t="shared" si="84"/>
        <v>18.841250000000059</v>
      </c>
      <c r="P343" s="34">
        <v>985.04066</v>
      </c>
      <c r="Q343" s="25">
        <f t="shared" si="85"/>
        <v>163.29295999999999</v>
      </c>
      <c r="R343" s="34">
        <v>1128.2342599999999</v>
      </c>
      <c r="S343" s="34">
        <f t="shared" si="86"/>
        <v>143.19359999999995</v>
      </c>
      <c r="T343" s="34"/>
      <c r="U343" s="34"/>
      <c r="V343" s="34"/>
      <c r="W343" s="34"/>
      <c r="X343" s="34"/>
      <c r="Y343" s="25">
        <f t="shared" si="87"/>
        <v>1128.2342599999999</v>
      </c>
      <c r="Z343" s="26">
        <f t="shared" si="88"/>
        <v>86.787250769230766</v>
      </c>
      <c r="AA343" s="26">
        <f t="shared" si="89"/>
        <v>86.920975346687214</v>
      </c>
      <c r="AB343"/>
      <c r="AG343" s="84"/>
    </row>
    <row r="344" spans="1:33" ht="14.25" customHeight="1">
      <c r="B344" s="11" t="s">
        <v>416</v>
      </c>
      <c r="C344" s="31">
        <v>1</v>
      </c>
      <c r="D344" s="31">
        <v>1</v>
      </c>
      <c r="E344" s="34">
        <v>0.17</v>
      </c>
      <c r="F344" s="34">
        <v>0.17</v>
      </c>
      <c r="G344" s="14"/>
      <c r="H344" s="14">
        <v>0.17</v>
      </c>
      <c r="I344" s="14">
        <f t="shared" si="91"/>
        <v>0</v>
      </c>
      <c r="J344" s="14">
        <v>0.51</v>
      </c>
      <c r="K344" s="25">
        <f t="shared" si="82"/>
        <v>0.33999999999999997</v>
      </c>
      <c r="L344" s="14">
        <v>0.17</v>
      </c>
      <c r="M344" s="34">
        <f t="shared" si="83"/>
        <v>-0.33999999999999997</v>
      </c>
      <c r="N344" s="14">
        <v>0.17</v>
      </c>
      <c r="O344" s="34">
        <f t="shared" si="84"/>
        <v>0</v>
      </c>
      <c r="P344" s="14">
        <v>0.17</v>
      </c>
      <c r="Q344" s="25">
        <f t="shared" si="85"/>
        <v>0</v>
      </c>
      <c r="R344" s="14">
        <v>0.17</v>
      </c>
      <c r="S344" s="34">
        <f t="shared" si="86"/>
        <v>0</v>
      </c>
      <c r="T344" s="14"/>
      <c r="U344" s="14"/>
      <c r="V344" s="14"/>
      <c r="W344" s="14"/>
      <c r="X344" s="14"/>
      <c r="Y344" s="25">
        <f t="shared" si="87"/>
        <v>0.17000000000000004</v>
      </c>
      <c r="Z344" s="26">
        <f t="shared" si="88"/>
        <v>17.000000000000004</v>
      </c>
      <c r="AA344" s="26">
        <f t="shared" si="89"/>
        <v>17.000000000000004</v>
      </c>
      <c r="AB344"/>
      <c r="AG344" s="84"/>
    </row>
    <row r="345" spans="1:33" ht="14.25" customHeight="1">
      <c r="B345" s="17" t="s">
        <v>616</v>
      </c>
      <c r="C345" s="31"/>
      <c r="D345" s="31">
        <v>2</v>
      </c>
      <c r="E345" s="34"/>
      <c r="F345" s="34"/>
      <c r="G345" s="14"/>
      <c r="H345" s="14">
        <v>2</v>
      </c>
      <c r="I345" s="14">
        <f t="shared" si="91"/>
        <v>2</v>
      </c>
      <c r="J345" s="14">
        <v>2</v>
      </c>
      <c r="K345" s="25">
        <f t="shared" si="82"/>
        <v>0</v>
      </c>
      <c r="L345" s="14">
        <v>2</v>
      </c>
      <c r="M345" s="34">
        <f t="shared" si="83"/>
        <v>0</v>
      </c>
      <c r="N345" s="14">
        <v>2</v>
      </c>
      <c r="O345" s="34">
        <f t="shared" si="84"/>
        <v>0</v>
      </c>
      <c r="P345" s="14">
        <v>2</v>
      </c>
      <c r="Q345" s="25">
        <f t="shared" si="85"/>
        <v>0</v>
      </c>
      <c r="R345" s="14">
        <v>2</v>
      </c>
      <c r="S345" s="34">
        <f t="shared" si="86"/>
        <v>0</v>
      </c>
      <c r="T345" s="14"/>
      <c r="U345" s="14"/>
      <c r="V345" s="14"/>
      <c r="W345" s="14"/>
      <c r="X345" s="14"/>
      <c r="Y345" s="25">
        <f>E345+G345+I345+K345+M345+O345+Q345+S345+U345+W345</f>
        <v>2</v>
      </c>
      <c r="Z345" s="26"/>
      <c r="AA345" s="26">
        <f>(Y345/D345)*100</f>
        <v>100</v>
      </c>
      <c r="AB345"/>
      <c r="AC345" s="532"/>
      <c r="AG345" s="84"/>
    </row>
    <row r="346" spans="1:33" ht="14.25" customHeight="1">
      <c r="B346" s="11" t="s">
        <v>418</v>
      </c>
      <c r="C346" s="31">
        <v>10</v>
      </c>
      <c r="D346" s="31">
        <v>10</v>
      </c>
      <c r="E346" s="34">
        <v>0.68300000000000005</v>
      </c>
      <c r="F346" s="34">
        <v>1.599</v>
      </c>
      <c r="G346" s="14">
        <f t="shared" si="90"/>
        <v>0.91599999999999993</v>
      </c>
      <c r="H346" s="14">
        <v>1.9770000000000001</v>
      </c>
      <c r="I346" s="14">
        <f t="shared" si="91"/>
        <v>0.37800000000000011</v>
      </c>
      <c r="J346" s="14">
        <v>1.9770000000000001</v>
      </c>
      <c r="K346" s="25">
        <f t="shared" si="82"/>
        <v>0</v>
      </c>
      <c r="L346" s="14">
        <v>1.9770000000000001</v>
      </c>
      <c r="M346" s="34">
        <f t="shared" si="83"/>
        <v>0</v>
      </c>
      <c r="N346" s="14">
        <v>1.9770000000000001</v>
      </c>
      <c r="O346" s="34">
        <f t="shared" si="84"/>
        <v>0</v>
      </c>
      <c r="P346" s="14">
        <v>1.9770000000000001</v>
      </c>
      <c r="Q346" s="25">
        <f t="shared" si="85"/>
        <v>0</v>
      </c>
      <c r="R346" s="14">
        <v>1.9770000000000001</v>
      </c>
      <c r="S346" s="34">
        <f t="shared" si="86"/>
        <v>0</v>
      </c>
      <c r="T346" s="14"/>
      <c r="U346" s="14"/>
      <c r="V346" s="14"/>
      <c r="W346" s="14"/>
      <c r="X346" s="14"/>
      <c r="Y346" s="25">
        <f t="shared" si="87"/>
        <v>1.9770000000000001</v>
      </c>
      <c r="Z346" s="26">
        <f t="shared" si="88"/>
        <v>19.770000000000003</v>
      </c>
      <c r="AA346" s="26">
        <f t="shared" si="89"/>
        <v>19.770000000000003</v>
      </c>
      <c r="AB346"/>
      <c r="AG346" s="84"/>
    </row>
    <row r="347" spans="1:33">
      <c r="B347" s="11" t="s">
        <v>338</v>
      </c>
      <c r="C347" s="31">
        <v>15</v>
      </c>
      <c r="D347" s="31">
        <v>15</v>
      </c>
      <c r="E347" s="34">
        <v>2.5249999999999999</v>
      </c>
      <c r="F347" s="34">
        <v>3.5750000000000002</v>
      </c>
      <c r="G347" s="14">
        <f t="shared" si="90"/>
        <v>1.0500000000000003</v>
      </c>
      <c r="H347" s="14">
        <v>6.6</v>
      </c>
      <c r="I347" s="14">
        <f t="shared" si="91"/>
        <v>3.0249999999999995</v>
      </c>
      <c r="J347" s="14">
        <v>7.5250000000000004</v>
      </c>
      <c r="K347" s="25">
        <f t="shared" si="82"/>
        <v>0.92500000000000071</v>
      </c>
      <c r="L347" s="14">
        <v>8.2750000000000004</v>
      </c>
      <c r="M347" s="34">
        <f t="shared" si="83"/>
        <v>0.75</v>
      </c>
      <c r="N347" s="14">
        <v>9.4</v>
      </c>
      <c r="O347" s="34">
        <f t="shared" si="84"/>
        <v>1.125</v>
      </c>
      <c r="P347" s="14">
        <v>12.2</v>
      </c>
      <c r="Q347" s="25">
        <f t="shared" si="85"/>
        <v>2.7999999999999989</v>
      </c>
      <c r="R347" s="14">
        <v>13.25</v>
      </c>
      <c r="S347" s="34">
        <f t="shared" si="86"/>
        <v>1.0500000000000007</v>
      </c>
      <c r="T347" s="14"/>
      <c r="U347" s="14"/>
      <c r="V347" s="14"/>
      <c r="W347" s="14"/>
      <c r="X347" s="14"/>
      <c r="Y347" s="25">
        <f>E347+G347+I347+K347+M347+O347+Q347+S347+U347+W347</f>
        <v>13.25</v>
      </c>
      <c r="Z347" s="26">
        <f>(Y347/C347)*100</f>
        <v>88.333333333333329</v>
      </c>
      <c r="AA347" s="26">
        <f>(Y347/D347)*100</f>
        <v>88.333333333333329</v>
      </c>
      <c r="AB347"/>
      <c r="AG347" s="84"/>
    </row>
    <row r="348" spans="1:33">
      <c r="B348" s="18" t="s">
        <v>10</v>
      </c>
      <c r="C348" s="19">
        <f>SUM(C323:C347)</f>
        <v>8102</v>
      </c>
      <c r="D348" s="19">
        <f>SUM(D323:D347)</f>
        <v>8052</v>
      </c>
      <c r="E348" s="76">
        <f>SUM(E323:E347)</f>
        <v>1704.8560700000003</v>
      </c>
      <c r="F348" s="76">
        <f t="shared" ref="F348:Y348" si="92">SUM(F323:F347)</f>
        <v>2537.4120299999995</v>
      </c>
      <c r="G348" s="20">
        <f>SUM(G323:G347)</f>
        <v>832.5559599999998</v>
      </c>
      <c r="H348" s="76">
        <f t="shared" si="92"/>
        <v>3018.42254</v>
      </c>
      <c r="I348" s="76">
        <f t="shared" si="92"/>
        <v>481.01051000000001</v>
      </c>
      <c r="J348" s="76">
        <f t="shared" si="92"/>
        <v>3419.7988599999994</v>
      </c>
      <c r="K348" s="76">
        <f t="shared" si="92"/>
        <v>401.37631999999985</v>
      </c>
      <c r="L348" s="76">
        <f t="shared" si="92"/>
        <v>4198.4885699999986</v>
      </c>
      <c r="M348" s="76">
        <f t="shared" si="92"/>
        <v>778.6897100000001</v>
      </c>
      <c r="N348" s="76">
        <f t="shared" si="92"/>
        <v>4590.7154199999995</v>
      </c>
      <c r="O348" s="76">
        <f t="shared" si="92"/>
        <v>392.2268499999999</v>
      </c>
      <c r="P348" s="76">
        <f t="shared" si="92"/>
        <v>5064.6012899999996</v>
      </c>
      <c r="Q348" s="76">
        <f t="shared" si="92"/>
        <v>473.88587000000024</v>
      </c>
      <c r="R348" s="76">
        <f t="shared" si="92"/>
        <v>5943.66093</v>
      </c>
      <c r="S348" s="76">
        <f t="shared" si="92"/>
        <v>879.05963999999949</v>
      </c>
      <c r="T348" s="76">
        <f t="shared" si="92"/>
        <v>0</v>
      </c>
      <c r="U348" s="76">
        <f t="shared" si="92"/>
        <v>0</v>
      </c>
      <c r="V348" s="76">
        <f t="shared" si="92"/>
        <v>0</v>
      </c>
      <c r="W348" s="76">
        <f t="shared" si="92"/>
        <v>0</v>
      </c>
      <c r="X348" s="76"/>
      <c r="Y348" s="76">
        <f t="shared" si="92"/>
        <v>5943.66093</v>
      </c>
      <c r="Z348" s="18">
        <f>(Y348/C348)*100</f>
        <v>73.360416316958776</v>
      </c>
      <c r="AA348" s="18">
        <f>(Y348/D348)*100</f>
        <v>73.815957898658723</v>
      </c>
      <c r="AB348"/>
    </row>
    <row r="349" spans="1:33" ht="17.25" customHeight="1">
      <c r="B349" s="4"/>
      <c r="C349" s="5"/>
      <c r="D349" s="5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395"/>
      <c r="AB349"/>
    </row>
    <row r="350" spans="1:33" ht="17.25" customHeight="1">
      <c r="B350" s="4"/>
      <c r="C350" s="5"/>
      <c r="D350" s="5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395"/>
      <c r="AB350"/>
    </row>
    <row r="351" spans="1:33" ht="43.5" customHeight="1">
      <c r="A351" s="75" t="s">
        <v>313</v>
      </c>
      <c r="B351" s="490" t="s">
        <v>576</v>
      </c>
      <c r="C351" s="507" t="s">
        <v>524</v>
      </c>
      <c r="D351" s="508" t="s">
        <v>315</v>
      </c>
      <c r="E351" s="393" t="s">
        <v>523</v>
      </c>
      <c r="F351" s="393" t="s">
        <v>525</v>
      </c>
      <c r="G351" s="460" t="s">
        <v>534</v>
      </c>
      <c r="H351" s="393" t="s">
        <v>526</v>
      </c>
      <c r="I351" s="460" t="s">
        <v>535</v>
      </c>
      <c r="J351" s="393" t="s">
        <v>527</v>
      </c>
      <c r="K351" s="460" t="s">
        <v>536</v>
      </c>
      <c r="L351" s="393" t="s">
        <v>528</v>
      </c>
      <c r="M351" s="460" t="s">
        <v>537</v>
      </c>
      <c r="N351" s="393" t="s">
        <v>529</v>
      </c>
      <c r="O351" s="460" t="s">
        <v>538</v>
      </c>
      <c r="P351" s="393" t="s">
        <v>530</v>
      </c>
      <c r="Q351" s="460" t="s">
        <v>539</v>
      </c>
      <c r="R351" s="393" t="s">
        <v>531</v>
      </c>
      <c r="S351" s="460" t="s">
        <v>540</v>
      </c>
      <c r="T351" s="393" t="s">
        <v>532</v>
      </c>
      <c r="U351" s="460" t="s">
        <v>541</v>
      </c>
      <c r="V351" s="393" t="s">
        <v>533</v>
      </c>
      <c r="W351" s="460" t="s">
        <v>542</v>
      </c>
      <c r="X351" s="10"/>
      <c r="Y351" s="393" t="s">
        <v>543</v>
      </c>
      <c r="Z351" s="492"/>
      <c r="AA351" s="493"/>
      <c r="AB351"/>
      <c r="AC351" s="495"/>
      <c r="AE351" s="496"/>
      <c r="AF351" s="497"/>
    </row>
    <row r="352" spans="1:33" ht="49.5" customHeight="1">
      <c r="A352" s="2" t="s">
        <v>606</v>
      </c>
      <c r="B352" s="491" t="s">
        <v>584</v>
      </c>
      <c r="C352" s="23">
        <v>3000</v>
      </c>
      <c r="D352" s="23">
        <v>3000</v>
      </c>
      <c r="E352" s="34">
        <v>0</v>
      </c>
      <c r="F352" s="34"/>
      <c r="G352" s="34"/>
      <c r="H352" s="34"/>
      <c r="I352" s="34">
        <f>H352-F352</f>
        <v>0</v>
      </c>
      <c r="J352" s="34"/>
      <c r="K352" s="25">
        <f>J352-H352</f>
        <v>0</v>
      </c>
      <c r="L352" s="34">
        <v>0</v>
      </c>
      <c r="M352" s="34">
        <f>L352-J352</f>
        <v>0</v>
      </c>
      <c r="N352" s="34">
        <v>0</v>
      </c>
      <c r="O352" s="34">
        <f>N352-L352</f>
        <v>0</v>
      </c>
      <c r="P352" s="34">
        <v>0</v>
      </c>
      <c r="Q352" s="25">
        <f>P352-N352</f>
        <v>0</v>
      </c>
      <c r="R352" s="34">
        <v>23.344999999999999</v>
      </c>
      <c r="S352" s="34">
        <f>R352-P352</f>
        <v>23.344999999999999</v>
      </c>
      <c r="T352" s="34"/>
      <c r="U352" s="34"/>
      <c r="V352" s="34"/>
      <c r="W352" s="34"/>
      <c r="X352" s="34"/>
      <c r="Y352" s="25">
        <f>E352+G352+I352+K352+M352+O352+Q352+S352+U352+W352</f>
        <v>23.344999999999999</v>
      </c>
      <c r="Z352" s="494"/>
      <c r="AA352" s="494"/>
      <c r="AB352"/>
      <c r="AC352" s="501" t="s">
        <v>577</v>
      </c>
      <c r="AE352" s="497"/>
      <c r="AF352" s="497"/>
    </row>
    <row r="353" spans="1:32" ht="14.25" customHeight="1">
      <c r="B353" s="41" t="s">
        <v>10</v>
      </c>
      <c r="C353" s="42">
        <f>C352</f>
        <v>3000</v>
      </c>
      <c r="D353" s="42">
        <f>D352</f>
        <v>3000</v>
      </c>
      <c r="E353" s="417">
        <f>SUM(E352)</f>
        <v>0</v>
      </c>
      <c r="F353" s="417">
        <f t="shared" ref="F353:W353" si="93">SUM(F352)</f>
        <v>0</v>
      </c>
      <c r="G353" s="417">
        <f>SUM(G352)</f>
        <v>0</v>
      </c>
      <c r="H353" s="417">
        <f t="shared" si="93"/>
        <v>0</v>
      </c>
      <c r="I353" s="417">
        <f t="shared" si="93"/>
        <v>0</v>
      </c>
      <c r="J353" s="417">
        <f t="shared" si="93"/>
        <v>0</v>
      </c>
      <c r="K353" s="417">
        <f t="shared" si="93"/>
        <v>0</v>
      </c>
      <c r="L353" s="417">
        <f t="shared" si="93"/>
        <v>0</v>
      </c>
      <c r="M353" s="417">
        <f t="shared" si="93"/>
        <v>0</v>
      </c>
      <c r="N353" s="417">
        <f t="shared" si="93"/>
        <v>0</v>
      </c>
      <c r="O353" s="417">
        <f t="shared" si="93"/>
        <v>0</v>
      </c>
      <c r="P353" s="417">
        <f t="shared" si="93"/>
        <v>0</v>
      </c>
      <c r="Q353" s="417">
        <f t="shared" si="93"/>
        <v>0</v>
      </c>
      <c r="R353" s="417">
        <f t="shared" si="93"/>
        <v>23.344999999999999</v>
      </c>
      <c r="S353" s="417">
        <f t="shared" si="93"/>
        <v>23.344999999999999</v>
      </c>
      <c r="T353" s="417">
        <f t="shared" si="93"/>
        <v>0</v>
      </c>
      <c r="U353" s="417">
        <f t="shared" si="93"/>
        <v>0</v>
      </c>
      <c r="V353" s="417">
        <f t="shared" si="93"/>
        <v>0</v>
      </c>
      <c r="W353" s="417">
        <f t="shared" si="93"/>
        <v>0</v>
      </c>
      <c r="X353" s="417"/>
      <c r="Y353" s="417">
        <f>SUM(Y352)</f>
        <v>23.344999999999999</v>
      </c>
      <c r="Z353" s="41"/>
      <c r="AA353" s="41"/>
      <c r="AB353"/>
      <c r="AC353" s="499">
        <f>Y353+Y348</f>
        <v>5967.0059300000003</v>
      </c>
      <c r="AE353" s="417"/>
      <c r="AF353" s="417"/>
    </row>
    <row r="354" spans="1:32" ht="14.25" customHeight="1">
      <c r="B354" s="41"/>
      <c r="C354" s="42"/>
      <c r="D354" s="42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417"/>
      <c r="Y354" s="417"/>
      <c r="Z354" s="41"/>
      <c r="AA354" s="41"/>
      <c r="AB354"/>
      <c r="AC354" s="561"/>
      <c r="AE354" s="417"/>
      <c r="AF354" s="417"/>
    </row>
    <row r="355" spans="1:32" ht="17.25" customHeight="1">
      <c r="B355" s="566" t="s">
        <v>647</v>
      </c>
      <c r="C355" s="565">
        <f>C348+C353</f>
        <v>11102</v>
      </c>
      <c r="D355" s="565">
        <f t="shared" ref="D355:K355" si="94">D348+D353</f>
        <v>11052</v>
      </c>
      <c r="E355" s="565">
        <f t="shared" si="94"/>
        <v>1704.8560700000003</v>
      </c>
      <c r="F355" s="565">
        <f t="shared" si="94"/>
        <v>2537.4120299999995</v>
      </c>
      <c r="G355" s="565">
        <f t="shared" si="94"/>
        <v>832.5559599999998</v>
      </c>
      <c r="H355" s="565">
        <f t="shared" si="94"/>
        <v>3018.42254</v>
      </c>
      <c r="I355" s="565">
        <f t="shared" si="94"/>
        <v>481.01051000000001</v>
      </c>
      <c r="J355" s="565">
        <f t="shared" si="94"/>
        <v>3419.7988599999994</v>
      </c>
      <c r="K355" s="565">
        <f t="shared" si="94"/>
        <v>401.37631999999985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395"/>
      <c r="AB355"/>
    </row>
    <row r="356" spans="1:32" ht="17.25" customHeight="1">
      <c r="B356" s="4"/>
      <c r="C356" s="5"/>
      <c r="D356" s="5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395"/>
      <c r="AB356"/>
    </row>
    <row r="357" spans="1:32" ht="43.5" customHeight="1">
      <c r="A357" s="75" t="s">
        <v>313</v>
      </c>
      <c r="B357" s="8" t="s">
        <v>454</v>
      </c>
      <c r="C357" s="507" t="s">
        <v>524</v>
      </c>
      <c r="D357" s="508" t="s">
        <v>315</v>
      </c>
      <c r="E357" s="393" t="s">
        <v>523</v>
      </c>
      <c r="F357" s="393" t="s">
        <v>525</v>
      </c>
      <c r="G357" s="460" t="s">
        <v>534</v>
      </c>
      <c r="H357" s="393" t="s">
        <v>526</v>
      </c>
      <c r="I357" s="460" t="s">
        <v>535</v>
      </c>
      <c r="J357" s="393" t="s">
        <v>527</v>
      </c>
      <c r="K357" s="460" t="s">
        <v>536</v>
      </c>
      <c r="L357" s="393" t="s">
        <v>528</v>
      </c>
      <c r="M357" s="460" t="s">
        <v>537</v>
      </c>
      <c r="N357" s="393" t="s">
        <v>529</v>
      </c>
      <c r="O357" s="460" t="s">
        <v>538</v>
      </c>
      <c r="P357" s="393" t="s">
        <v>530</v>
      </c>
      <c r="Q357" s="460" t="s">
        <v>539</v>
      </c>
      <c r="R357" s="393" t="s">
        <v>531</v>
      </c>
      <c r="S357" s="460" t="s">
        <v>540</v>
      </c>
      <c r="T357" s="393" t="s">
        <v>532</v>
      </c>
      <c r="U357" s="460" t="s">
        <v>541</v>
      </c>
      <c r="V357" s="393" t="s">
        <v>533</v>
      </c>
      <c r="W357" s="460" t="s">
        <v>542</v>
      </c>
      <c r="X357" s="10"/>
      <c r="Y357" s="393" t="s">
        <v>543</v>
      </c>
      <c r="Z357" s="10" t="s">
        <v>309</v>
      </c>
      <c r="AA357" s="396" t="s">
        <v>7</v>
      </c>
      <c r="AB357"/>
    </row>
    <row r="358" spans="1:32">
      <c r="A358" s="75" t="s">
        <v>455</v>
      </c>
      <c r="B358" s="11" t="s">
        <v>331</v>
      </c>
      <c r="C358" s="31">
        <v>50</v>
      </c>
      <c r="D358" s="31">
        <v>50</v>
      </c>
      <c r="E358" s="34">
        <v>2.1909999999999998</v>
      </c>
      <c r="F358" s="34">
        <v>2.617</v>
      </c>
      <c r="G358" s="34">
        <f>F358-E358</f>
        <v>0.42600000000000016</v>
      </c>
      <c r="H358" s="34">
        <v>2.6909999999999998</v>
      </c>
      <c r="I358" s="34">
        <f>H358-F358</f>
        <v>7.3999999999999844E-2</v>
      </c>
      <c r="J358" s="34">
        <v>3.472</v>
      </c>
      <c r="K358" s="25">
        <f t="shared" ref="K358:K364" si="95">J358-H358</f>
        <v>0.78100000000000014</v>
      </c>
      <c r="L358" s="34">
        <v>3.472</v>
      </c>
      <c r="M358" s="34">
        <f t="shared" ref="M358:M364" si="96">L358-J358</f>
        <v>0</v>
      </c>
      <c r="N358" s="34">
        <v>3.472</v>
      </c>
      <c r="O358" s="34">
        <f t="shared" ref="O358:O364" si="97">N358-L358</f>
        <v>0</v>
      </c>
      <c r="P358" s="34">
        <v>3.5840000000000001</v>
      </c>
      <c r="Q358" s="25">
        <f t="shared" ref="Q358:Q364" si="98">P358-N358</f>
        <v>0.1120000000000001</v>
      </c>
      <c r="R358" s="34">
        <v>4.7729999999999997</v>
      </c>
      <c r="S358" s="34">
        <f t="shared" ref="S358:S364" si="99">R358-P358</f>
        <v>1.1889999999999996</v>
      </c>
      <c r="T358" s="34"/>
      <c r="U358" s="34"/>
      <c r="V358" s="34"/>
      <c r="W358" s="34"/>
      <c r="X358" s="34"/>
      <c r="Y358" s="25">
        <f t="shared" ref="Y358:Y363" si="100">E358+G358+I358+K358+M358+O358+Q358+S358+U358+W358</f>
        <v>4.7729999999999997</v>
      </c>
      <c r="Z358" s="26">
        <f t="shared" ref="Z358:Z363" si="101">(Y358/C358)*100</f>
        <v>9.5459999999999994</v>
      </c>
      <c r="AA358" s="26">
        <f t="shared" ref="AA358:AA363" si="102">(Y358/D358)*100</f>
        <v>9.5459999999999994</v>
      </c>
      <c r="AB358"/>
    </row>
    <row r="359" spans="1:32">
      <c r="B359" s="11" t="s">
        <v>352</v>
      </c>
      <c r="C359" s="31">
        <v>115</v>
      </c>
      <c r="D359" s="31">
        <v>115</v>
      </c>
      <c r="E359" s="14"/>
      <c r="F359" s="14">
        <v>35.399000000000001</v>
      </c>
      <c r="G359" s="34">
        <f t="shared" ref="G359:G364" si="103">F359-E359</f>
        <v>35.399000000000001</v>
      </c>
      <c r="H359" s="14">
        <v>31.12725</v>
      </c>
      <c r="I359" s="34">
        <f t="shared" ref="I359:I364" si="104">H359-F359</f>
        <v>-4.2717500000000008</v>
      </c>
      <c r="J359" s="14">
        <v>30.731760000000001</v>
      </c>
      <c r="K359" s="25">
        <f t="shared" si="95"/>
        <v>-0.39548999999999879</v>
      </c>
      <c r="L359" s="14">
        <v>45.756160000000001</v>
      </c>
      <c r="M359" s="34">
        <f t="shared" si="96"/>
        <v>15.0244</v>
      </c>
      <c r="N359" s="14">
        <v>44.097760000000001</v>
      </c>
      <c r="O359" s="34">
        <f t="shared" si="97"/>
        <v>-1.6584000000000003</v>
      </c>
      <c r="P359" s="14">
        <v>44.097760000000001</v>
      </c>
      <c r="Q359" s="25">
        <f t="shared" si="98"/>
        <v>0</v>
      </c>
      <c r="R359" s="14">
        <v>52.565759999999997</v>
      </c>
      <c r="S359" s="34">
        <f t="shared" si="99"/>
        <v>8.4679999999999964</v>
      </c>
      <c r="T359" s="14"/>
      <c r="U359" s="14"/>
      <c r="V359" s="14"/>
      <c r="W359" s="14"/>
      <c r="X359" s="14"/>
      <c r="Y359" s="25">
        <f t="shared" si="100"/>
        <v>52.565759999999997</v>
      </c>
      <c r="Z359" s="26">
        <f t="shared" si="101"/>
        <v>45.709356521739132</v>
      </c>
      <c r="AA359" s="26">
        <f t="shared" si="102"/>
        <v>45.709356521739132</v>
      </c>
      <c r="AB359"/>
    </row>
    <row r="360" spans="1:32">
      <c r="B360" s="52" t="s">
        <v>23</v>
      </c>
      <c r="C360" s="31">
        <v>1100</v>
      </c>
      <c r="D360" s="31">
        <v>1100</v>
      </c>
      <c r="E360" s="14">
        <v>306.45</v>
      </c>
      <c r="F360" s="25">
        <v>408.6</v>
      </c>
      <c r="G360" s="34">
        <f t="shared" si="103"/>
        <v>102.15000000000003</v>
      </c>
      <c r="H360" s="25">
        <v>440.68657000000002</v>
      </c>
      <c r="I360" s="34">
        <f t="shared" si="104"/>
        <v>32.086569999999995</v>
      </c>
      <c r="J360" s="25">
        <v>542.83657000000005</v>
      </c>
      <c r="K360" s="25">
        <f t="shared" si="95"/>
        <v>102.15000000000003</v>
      </c>
      <c r="L360" s="25">
        <v>644.98657000000003</v>
      </c>
      <c r="M360" s="34">
        <f t="shared" si="96"/>
        <v>102.14999999999998</v>
      </c>
      <c r="N360" s="25">
        <v>747.13657000000001</v>
      </c>
      <c r="O360" s="34">
        <f t="shared" si="97"/>
        <v>102.14999999999998</v>
      </c>
      <c r="P360" s="25">
        <v>849.28656999999998</v>
      </c>
      <c r="Q360" s="25">
        <f t="shared" si="98"/>
        <v>102.14999999999998</v>
      </c>
      <c r="R360" s="25">
        <v>897.63657000000001</v>
      </c>
      <c r="S360" s="34">
        <f t="shared" si="99"/>
        <v>48.350000000000023</v>
      </c>
      <c r="T360" s="25"/>
      <c r="U360" s="25"/>
      <c r="V360" s="25"/>
      <c r="W360" s="25"/>
      <c r="X360" s="25"/>
      <c r="Y360" s="25">
        <f t="shared" si="100"/>
        <v>897.63657000000001</v>
      </c>
      <c r="Z360" s="26">
        <f t="shared" si="101"/>
        <v>81.603324545454541</v>
      </c>
      <c r="AA360" s="26">
        <f t="shared" si="102"/>
        <v>81.603324545454541</v>
      </c>
      <c r="AB360"/>
    </row>
    <row r="361" spans="1:32">
      <c r="B361" s="11" t="s">
        <v>345</v>
      </c>
      <c r="C361" s="31">
        <v>400</v>
      </c>
      <c r="D361" s="31">
        <v>400</v>
      </c>
      <c r="E361" s="14">
        <v>183.53471999999999</v>
      </c>
      <c r="F361" s="14">
        <v>229.34022999999999</v>
      </c>
      <c r="G361" s="34">
        <f t="shared" si="103"/>
        <v>45.805509999999998</v>
      </c>
      <c r="H361" s="14">
        <v>248.87033</v>
      </c>
      <c r="I361" s="34">
        <f t="shared" si="104"/>
        <v>19.530100000000004</v>
      </c>
      <c r="J361" s="14">
        <v>290.14640000000003</v>
      </c>
      <c r="K361" s="25">
        <f t="shared" si="95"/>
        <v>41.276070000000033</v>
      </c>
      <c r="L361" s="14">
        <v>315.97739999999999</v>
      </c>
      <c r="M361" s="34">
        <f t="shared" si="96"/>
        <v>25.83099999999996</v>
      </c>
      <c r="N361" s="14">
        <v>337.48739999999998</v>
      </c>
      <c r="O361" s="34">
        <f t="shared" si="97"/>
        <v>21.509999999999991</v>
      </c>
      <c r="P361" s="14">
        <v>359.8374</v>
      </c>
      <c r="Q361" s="25">
        <f t="shared" si="98"/>
        <v>22.350000000000023</v>
      </c>
      <c r="R361" s="14">
        <v>384.04680999999999</v>
      </c>
      <c r="S361" s="34">
        <f t="shared" si="99"/>
        <v>24.209409999999991</v>
      </c>
      <c r="T361" s="14"/>
      <c r="U361" s="14"/>
      <c r="V361" s="14"/>
      <c r="W361" s="14"/>
      <c r="X361" s="14"/>
      <c r="Y361" s="25">
        <f t="shared" si="100"/>
        <v>384.04680999999999</v>
      </c>
      <c r="Z361" s="26">
        <f t="shared" si="101"/>
        <v>96.011702499999998</v>
      </c>
      <c r="AA361" s="26">
        <f t="shared" si="102"/>
        <v>96.011702499999998</v>
      </c>
      <c r="AB361"/>
    </row>
    <row r="362" spans="1:32">
      <c r="B362" s="11" t="s">
        <v>334</v>
      </c>
      <c r="C362" s="31">
        <v>30</v>
      </c>
      <c r="D362" s="31">
        <v>30</v>
      </c>
      <c r="E362" s="14"/>
      <c r="F362" s="14"/>
      <c r="G362" s="34"/>
      <c r="H362" s="14"/>
      <c r="I362" s="34">
        <f t="shared" si="104"/>
        <v>0</v>
      </c>
      <c r="J362" s="14"/>
      <c r="K362" s="25">
        <f t="shared" si="95"/>
        <v>0</v>
      </c>
      <c r="L362" s="14"/>
      <c r="M362" s="34">
        <f t="shared" si="96"/>
        <v>0</v>
      </c>
      <c r="N362" s="14"/>
      <c r="O362" s="34">
        <f t="shared" si="97"/>
        <v>0</v>
      </c>
      <c r="P362" s="14"/>
      <c r="Q362" s="25">
        <f t="shared" si="98"/>
        <v>0</v>
      </c>
      <c r="R362" s="14"/>
      <c r="S362" s="34">
        <f t="shared" si="99"/>
        <v>0</v>
      </c>
      <c r="T362" s="14"/>
      <c r="U362" s="14"/>
      <c r="V362" s="14"/>
      <c r="W362" s="14"/>
      <c r="X362" s="14"/>
      <c r="Y362" s="25">
        <f t="shared" si="100"/>
        <v>0</v>
      </c>
      <c r="Z362" s="26">
        <f t="shared" si="101"/>
        <v>0</v>
      </c>
      <c r="AA362" s="26">
        <f t="shared" si="102"/>
        <v>0</v>
      </c>
      <c r="AB362"/>
    </row>
    <row r="363" spans="1:32">
      <c r="B363" s="11" t="s">
        <v>320</v>
      </c>
      <c r="C363" s="31">
        <v>250</v>
      </c>
      <c r="D363" s="31">
        <v>250</v>
      </c>
      <c r="E363" s="14">
        <v>13.608000000000001</v>
      </c>
      <c r="F363" s="14">
        <v>18.977589999999999</v>
      </c>
      <c r="G363" s="34">
        <f t="shared" si="103"/>
        <v>5.3695899999999988</v>
      </c>
      <c r="H363" s="14">
        <v>18.977589999999999</v>
      </c>
      <c r="I363" s="34">
        <f t="shared" si="104"/>
        <v>0</v>
      </c>
      <c r="J363" s="14">
        <v>18.977589999999999</v>
      </c>
      <c r="K363" s="25">
        <f t="shared" si="95"/>
        <v>0</v>
      </c>
      <c r="L363" s="14">
        <v>20.27759</v>
      </c>
      <c r="M363" s="34">
        <f t="shared" si="96"/>
        <v>1.3000000000000007</v>
      </c>
      <c r="N363" s="14">
        <v>20.27759</v>
      </c>
      <c r="O363" s="34">
        <f t="shared" si="97"/>
        <v>0</v>
      </c>
      <c r="P363" s="14">
        <v>20.27759</v>
      </c>
      <c r="Q363" s="25">
        <f t="shared" si="98"/>
        <v>0</v>
      </c>
      <c r="R363" s="14">
        <v>20.27759</v>
      </c>
      <c r="S363" s="34">
        <f t="shared" si="99"/>
        <v>0</v>
      </c>
      <c r="T363" s="14"/>
      <c r="U363" s="14"/>
      <c r="V363" s="14"/>
      <c r="W363" s="14"/>
      <c r="X363" s="14"/>
      <c r="Y363" s="25">
        <f t="shared" si="100"/>
        <v>20.27759</v>
      </c>
      <c r="Z363" s="26">
        <f t="shared" si="101"/>
        <v>8.1110360000000004</v>
      </c>
      <c r="AA363" s="26">
        <f t="shared" si="102"/>
        <v>8.1110360000000004</v>
      </c>
      <c r="AB363"/>
    </row>
    <row r="364" spans="1:32">
      <c r="B364" s="11" t="s">
        <v>335</v>
      </c>
      <c r="C364" s="31">
        <v>300</v>
      </c>
      <c r="D364" s="31">
        <v>300</v>
      </c>
      <c r="E364" s="14">
        <v>37.391849999999998</v>
      </c>
      <c r="F364" s="14">
        <v>89.442419999999998</v>
      </c>
      <c r="G364" s="34">
        <f t="shared" si="103"/>
        <v>52.05057</v>
      </c>
      <c r="H364" s="14">
        <v>123.91709</v>
      </c>
      <c r="I364" s="34">
        <f t="shared" si="104"/>
        <v>34.474670000000003</v>
      </c>
      <c r="J364" s="14">
        <v>135.68165999999999</v>
      </c>
      <c r="K364" s="25">
        <f t="shared" si="95"/>
        <v>11.764569999999992</v>
      </c>
      <c r="L364" s="14">
        <v>164.05616000000001</v>
      </c>
      <c r="M364" s="34">
        <f t="shared" si="96"/>
        <v>28.374500000000012</v>
      </c>
      <c r="N364" s="14">
        <v>165.79856000000001</v>
      </c>
      <c r="O364" s="34">
        <f t="shared" si="97"/>
        <v>1.7424000000000035</v>
      </c>
      <c r="P364" s="14">
        <v>177.66955999999999</v>
      </c>
      <c r="Q364" s="25">
        <f t="shared" si="98"/>
        <v>11.870999999999981</v>
      </c>
      <c r="R364" s="14">
        <v>190.32495</v>
      </c>
      <c r="S364" s="34">
        <f t="shared" si="99"/>
        <v>12.655390000000011</v>
      </c>
      <c r="T364" s="14"/>
      <c r="U364" s="14"/>
      <c r="V364" s="14"/>
      <c r="W364" s="14"/>
      <c r="X364" s="14"/>
      <c r="Y364" s="25">
        <f>E364+G364+I364+K364+M364+O364+Q364+S364+U364+W364</f>
        <v>190.32495</v>
      </c>
      <c r="Z364" s="26">
        <f>(Y364/C364)*100</f>
        <v>63.441650000000003</v>
      </c>
      <c r="AA364" s="26">
        <f>(Y364/D364)*100</f>
        <v>63.441650000000003</v>
      </c>
      <c r="AB364"/>
    </row>
    <row r="365" spans="1:32">
      <c r="B365" s="18" t="s">
        <v>10</v>
      </c>
      <c r="C365" s="19">
        <f>SUM(C358:C364)</f>
        <v>2245</v>
      </c>
      <c r="D365" s="19">
        <f>SUM(D358:D364)</f>
        <v>2245</v>
      </c>
      <c r="E365" s="20">
        <f>SUM(E358:E364)</f>
        <v>543.17556999999999</v>
      </c>
      <c r="F365" s="20">
        <f t="shared" ref="F365:Y365" si="105">SUM(F358:F364)</f>
        <v>784.37623999999994</v>
      </c>
      <c r="G365" s="20">
        <f>SUM(G358:W364)</f>
        <v>8411.7382400000006</v>
      </c>
      <c r="H365" s="20">
        <f t="shared" si="105"/>
        <v>866.26982999999996</v>
      </c>
      <c r="I365" s="20">
        <f t="shared" si="105"/>
        <v>81.893590000000003</v>
      </c>
      <c r="J365" s="20">
        <f t="shared" si="105"/>
        <v>1021.8459800000001</v>
      </c>
      <c r="K365" s="20">
        <f t="shared" si="105"/>
        <v>155.57615000000004</v>
      </c>
      <c r="L365" s="20">
        <f t="shared" si="105"/>
        <v>1194.5258800000001</v>
      </c>
      <c r="M365" s="20">
        <f t="shared" si="105"/>
        <v>172.67989999999998</v>
      </c>
      <c r="N365" s="20">
        <f t="shared" si="105"/>
        <v>1318.2698799999998</v>
      </c>
      <c r="O365" s="20">
        <f t="shared" si="105"/>
        <v>123.74399999999997</v>
      </c>
      <c r="P365" s="76">
        <f t="shared" si="105"/>
        <v>1454.75288</v>
      </c>
      <c r="Q365" s="76">
        <f t="shared" si="105"/>
        <v>136.48299999999998</v>
      </c>
      <c r="R365" s="76">
        <f t="shared" si="105"/>
        <v>1549.6246799999999</v>
      </c>
      <c r="S365" s="20">
        <f t="shared" si="105"/>
        <v>94.871800000000022</v>
      </c>
      <c r="T365" s="20">
        <f t="shared" si="105"/>
        <v>0</v>
      </c>
      <c r="U365" s="20">
        <f t="shared" si="105"/>
        <v>0</v>
      </c>
      <c r="V365" s="20">
        <f t="shared" si="105"/>
        <v>0</v>
      </c>
      <c r="W365" s="20">
        <f t="shared" si="105"/>
        <v>0</v>
      </c>
      <c r="X365" s="20"/>
      <c r="Y365" s="76">
        <f t="shared" si="105"/>
        <v>1549.6246799999999</v>
      </c>
      <c r="Z365" s="18">
        <f>(Y365/C365)*100</f>
        <v>69.0255982182628</v>
      </c>
      <c r="AA365" s="18">
        <f>(Y365/D365)*100</f>
        <v>69.0255982182628</v>
      </c>
      <c r="AB365"/>
    </row>
    <row r="366" spans="1:32" ht="17.25" customHeight="1">
      <c r="B366" s="4"/>
      <c r="C366" s="5"/>
      <c r="D366" s="5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395"/>
      <c r="AB366"/>
    </row>
    <row r="367" spans="1:32" ht="17.25" customHeight="1">
      <c r="B367" s="4"/>
      <c r="C367" s="5"/>
      <c r="D367" s="5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395"/>
      <c r="AB367"/>
    </row>
    <row r="368" spans="1:32" ht="43.5" customHeight="1">
      <c r="A368" s="75" t="s">
        <v>313</v>
      </c>
      <c r="B368" s="490" t="s">
        <v>626</v>
      </c>
      <c r="C368" s="507" t="s">
        <v>524</v>
      </c>
      <c r="D368" s="508" t="s">
        <v>315</v>
      </c>
      <c r="E368" s="393" t="s">
        <v>523</v>
      </c>
      <c r="F368" s="393" t="s">
        <v>525</v>
      </c>
      <c r="G368" s="460" t="s">
        <v>534</v>
      </c>
      <c r="H368" s="393" t="s">
        <v>526</v>
      </c>
      <c r="I368" s="460" t="s">
        <v>535</v>
      </c>
      <c r="J368" s="393" t="s">
        <v>527</v>
      </c>
      <c r="K368" s="460" t="s">
        <v>536</v>
      </c>
      <c r="L368" s="393" t="s">
        <v>528</v>
      </c>
      <c r="M368" s="460" t="s">
        <v>537</v>
      </c>
      <c r="N368" s="393" t="s">
        <v>529</v>
      </c>
      <c r="O368" s="460" t="s">
        <v>538</v>
      </c>
      <c r="P368" s="393" t="s">
        <v>530</v>
      </c>
      <c r="Q368" s="460" t="s">
        <v>539</v>
      </c>
      <c r="R368" s="393" t="s">
        <v>531</v>
      </c>
      <c r="S368" s="460" t="s">
        <v>540</v>
      </c>
      <c r="T368" s="393" t="s">
        <v>532</v>
      </c>
      <c r="U368" s="460" t="s">
        <v>541</v>
      </c>
      <c r="V368" s="393" t="s">
        <v>533</v>
      </c>
      <c r="W368" s="460" t="s">
        <v>542</v>
      </c>
      <c r="X368" s="10"/>
      <c r="Y368" s="393" t="s">
        <v>543</v>
      </c>
      <c r="Z368" s="492"/>
      <c r="AA368" s="493"/>
      <c r="AB368"/>
      <c r="AC368" s="495"/>
      <c r="AE368" s="496"/>
      <c r="AF368" s="497"/>
    </row>
    <row r="369" spans="1:32" ht="49.5" customHeight="1">
      <c r="A369" s="2" t="s">
        <v>624</v>
      </c>
      <c r="B369" s="491" t="s">
        <v>625</v>
      </c>
      <c r="C369" s="23"/>
      <c r="D369" s="23">
        <v>1050</v>
      </c>
      <c r="E369" s="34">
        <v>0</v>
      </c>
      <c r="F369" s="34"/>
      <c r="G369" s="34">
        <f>F369-E369</f>
        <v>0</v>
      </c>
      <c r="H369" s="34"/>
      <c r="I369" s="34">
        <f>H369-F369</f>
        <v>0</v>
      </c>
      <c r="J369" s="34"/>
      <c r="K369" s="25">
        <f>J369-H369</f>
        <v>0</v>
      </c>
      <c r="L369" s="34">
        <v>0</v>
      </c>
      <c r="M369" s="34">
        <f>L369-J369</f>
        <v>0</v>
      </c>
      <c r="N369" s="34">
        <v>105.22281</v>
      </c>
      <c r="O369" s="34">
        <f>N369-L369</f>
        <v>105.22281</v>
      </c>
      <c r="P369" s="34">
        <v>128.21280999999999</v>
      </c>
      <c r="Q369" s="25">
        <f>P369-N369</f>
        <v>22.989999999999995</v>
      </c>
      <c r="R369" s="34">
        <v>128.21280999999999</v>
      </c>
      <c r="S369" s="34">
        <f>R369-P369</f>
        <v>0</v>
      </c>
      <c r="T369" s="34"/>
      <c r="U369" s="34"/>
      <c r="V369" s="34"/>
      <c r="W369" s="34"/>
      <c r="X369" s="34"/>
      <c r="Y369" s="25">
        <f>E369+G369+I369+K369+M369+O369+Q369+S369+U369+W369</f>
        <v>128.21280999999999</v>
      </c>
      <c r="Z369" s="494"/>
      <c r="AA369" s="494"/>
      <c r="AB369"/>
      <c r="AC369" s="501" t="s">
        <v>627</v>
      </c>
      <c r="AE369" s="497"/>
      <c r="AF369" s="497"/>
    </row>
    <row r="370" spans="1:32" ht="14.25" customHeight="1">
      <c r="B370" s="41" t="s">
        <v>10</v>
      </c>
      <c r="C370" s="42">
        <f>C369</f>
        <v>0</v>
      </c>
      <c r="D370" s="42">
        <f>D369</f>
        <v>1050</v>
      </c>
      <c r="E370" s="417">
        <f>SUM(E369)</f>
        <v>0</v>
      </c>
      <c r="F370" s="417">
        <f>SUM(F369)</f>
        <v>0</v>
      </c>
      <c r="G370" s="417">
        <f>SUM(G369)</f>
        <v>0</v>
      </c>
      <c r="H370" s="417">
        <f t="shared" ref="H370:W370" si="106">SUM(H369)</f>
        <v>0</v>
      </c>
      <c r="I370" s="417">
        <f t="shared" si="106"/>
        <v>0</v>
      </c>
      <c r="J370" s="417">
        <f t="shared" si="106"/>
        <v>0</v>
      </c>
      <c r="K370" s="417">
        <f t="shared" si="106"/>
        <v>0</v>
      </c>
      <c r="L370" s="417">
        <f t="shared" si="106"/>
        <v>0</v>
      </c>
      <c r="M370" s="417">
        <f t="shared" si="106"/>
        <v>0</v>
      </c>
      <c r="N370" s="417">
        <f t="shared" si="106"/>
        <v>105.22281</v>
      </c>
      <c r="O370" s="417">
        <f t="shared" si="106"/>
        <v>105.22281</v>
      </c>
      <c r="P370" s="417">
        <f t="shared" si="106"/>
        <v>128.21280999999999</v>
      </c>
      <c r="Q370" s="417">
        <f t="shared" si="106"/>
        <v>22.989999999999995</v>
      </c>
      <c r="R370" s="417">
        <f t="shared" si="106"/>
        <v>128.21280999999999</v>
      </c>
      <c r="S370" s="417">
        <f t="shared" si="106"/>
        <v>0</v>
      </c>
      <c r="T370" s="417">
        <f t="shared" si="106"/>
        <v>0</v>
      </c>
      <c r="U370" s="417">
        <f t="shared" si="106"/>
        <v>0</v>
      </c>
      <c r="V370" s="417">
        <f t="shared" si="106"/>
        <v>0</v>
      </c>
      <c r="W370" s="417">
        <f t="shared" si="106"/>
        <v>0</v>
      </c>
      <c r="X370" s="417"/>
      <c r="Y370" s="417">
        <f>SUM(Y369)</f>
        <v>128.21280999999999</v>
      </c>
      <c r="Z370" s="41"/>
      <c r="AA370" s="41"/>
      <c r="AB370"/>
      <c r="AC370" s="499">
        <f>Y370+Y365</f>
        <v>1677.8374899999999</v>
      </c>
      <c r="AE370" s="417"/>
      <c r="AF370" s="417"/>
    </row>
    <row r="371" spans="1:32" ht="14.25" customHeight="1">
      <c r="B371" s="41"/>
      <c r="C371" s="42"/>
      <c r="D371" s="42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17"/>
      <c r="T371" s="417"/>
      <c r="U371" s="417"/>
      <c r="V371" s="417"/>
      <c r="W371" s="417"/>
      <c r="X371" s="417"/>
      <c r="Y371" s="417"/>
      <c r="Z371" s="41"/>
      <c r="AA371" s="41"/>
      <c r="AB371"/>
      <c r="AC371" s="561"/>
      <c r="AE371" s="417"/>
      <c r="AF371" s="417"/>
    </row>
    <row r="372" spans="1:32" ht="17.25" customHeight="1">
      <c r="B372" s="566" t="s">
        <v>648</v>
      </c>
      <c r="C372" s="565">
        <f>C365+C370</f>
        <v>2245</v>
      </c>
      <c r="D372" s="565">
        <f>D365+D370</f>
        <v>3295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395"/>
      <c r="AB372"/>
      <c r="AC372" s="540"/>
    </row>
    <row r="373" spans="1:32" ht="17.25" customHeight="1">
      <c r="B373" s="4"/>
      <c r="C373" s="5"/>
      <c r="D373" s="5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395"/>
      <c r="AB373"/>
      <c r="AC373" s="540"/>
    </row>
    <row r="374" spans="1:32" ht="43.5" customHeight="1">
      <c r="A374" s="75" t="s">
        <v>313</v>
      </c>
      <c r="B374" s="490" t="s">
        <v>586</v>
      </c>
      <c r="C374" s="507" t="s">
        <v>524</v>
      </c>
      <c r="D374" s="508" t="s">
        <v>315</v>
      </c>
      <c r="E374" s="393" t="s">
        <v>523</v>
      </c>
      <c r="F374" s="393" t="s">
        <v>525</v>
      </c>
      <c r="G374" s="460" t="s">
        <v>534</v>
      </c>
      <c r="H374" s="393" t="s">
        <v>526</v>
      </c>
      <c r="I374" s="460" t="s">
        <v>535</v>
      </c>
      <c r="J374" s="393" t="s">
        <v>527</v>
      </c>
      <c r="K374" s="460" t="s">
        <v>536</v>
      </c>
      <c r="L374" s="393" t="s">
        <v>528</v>
      </c>
      <c r="M374" s="460" t="s">
        <v>537</v>
      </c>
      <c r="N374" s="393" t="s">
        <v>529</v>
      </c>
      <c r="O374" s="460" t="s">
        <v>538</v>
      </c>
      <c r="P374" s="393" t="s">
        <v>530</v>
      </c>
      <c r="Q374" s="460" t="s">
        <v>539</v>
      </c>
      <c r="R374" s="393" t="s">
        <v>531</v>
      </c>
      <c r="S374" s="460" t="s">
        <v>540</v>
      </c>
      <c r="T374" s="393" t="s">
        <v>532</v>
      </c>
      <c r="U374" s="460" t="s">
        <v>541</v>
      </c>
      <c r="V374" s="393" t="s">
        <v>533</v>
      </c>
      <c r="W374" s="460" t="s">
        <v>542</v>
      </c>
      <c r="X374" s="10"/>
      <c r="Y374" s="393" t="s">
        <v>543</v>
      </c>
      <c r="Z374" s="492"/>
      <c r="AA374" s="493"/>
      <c r="AB374"/>
      <c r="AC374" s="495"/>
      <c r="AE374" s="496"/>
      <c r="AF374" s="497"/>
    </row>
    <row r="375" spans="1:32" ht="49.5" customHeight="1">
      <c r="A375" s="2" t="s">
        <v>578</v>
      </c>
      <c r="B375" s="491" t="s">
        <v>583</v>
      </c>
      <c r="C375" s="23">
        <v>200</v>
      </c>
      <c r="D375" s="23">
        <v>400</v>
      </c>
      <c r="E375" s="34">
        <v>0</v>
      </c>
      <c r="F375" s="34">
        <v>8.35989</v>
      </c>
      <c r="G375" s="34">
        <f>F375-E375</f>
        <v>8.35989</v>
      </c>
      <c r="H375" s="34">
        <v>8.35989</v>
      </c>
      <c r="I375" s="34">
        <f>H375-F375</f>
        <v>0</v>
      </c>
      <c r="J375" s="34">
        <v>15.35989</v>
      </c>
      <c r="K375" s="25">
        <f>J375-H375</f>
        <v>7</v>
      </c>
      <c r="L375" s="34">
        <v>15.35989</v>
      </c>
      <c r="M375" s="34">
        <f>L375-J375</f>
        <v>0</v>
      </c>
      <c r="N375" s="34">
        <v>15.35989</v>
      </c>
      <c r="O375" s="34">
        <f>N375-L375</f>
        <v>0</v>
      </c>
      <c r="P375" s="34">
        <v>15.35989</v>
      </c>
      <c r="Q375" s="25">
        <f>P375-N375</f>
        <v>0</v>
      </c>
      <c r="R375" s="34">
        <v>15.35989</v>
      </c>
      <c r="S375" s="34">
        <f>R375-P375</f>
        <v>0</v>
      </c>
      <c r="T375" s="34"/>
      <c r="U375" s="34"/>
      <c r="V375" s="34"/>
      <c r="W375" s="34"/>
      <c r="X375" s="34"/>
      <c r="Y375" s="25">
        <f>E375+G375+I375+K375+M375+O375+Q375+S375+U375+W375</f>
        <v>15.35989</v>
      </c>
      <c r="Z375" s="494"/>
      <c r="AA375" s="494"/>
      <c r="AB375"/>
      <c r="AC375" s="501" t="s">
        <v>579</v>
      </c>
      <c r="AE375" s="497"/>
      <c r="AF375" s="497"/>
    </row>
    <row r="376" spans="1:32" ht="14.25" customHeight="1">
      <c r="B376" s="41" t="s">
        <v>10</v>
      </c>
      <c r="C376" s="42">
        <f>C375</f>
        <v>200</v>
      </c>
      <c r="D376" s="42">
        <f>D375</f>
        <v>400</v>
      </c>
      <c r="E376" s="417">
        <f>SUM(E375)</f>
        <v>0</v>
      </c>
      <c r="F376" s="417">
        <f t="shared" ref="F376:W376" si="107">SUM(F375)</f>
        <v>8.35989</v>
      </c>
      <c r="G376" s="417">
        <f>SUM(G375)</f>
        <v>8.35989</v>
      </c>
      <c r="H376" s="417">
        <f t="shared" si="107"/>
        <v>8.35989</v>
      </c>
      <c r="I376" s="417">
        <f t="shared" si="107"/>
        <v>0</v>
      </c>
      <c r="J376" s="417">
        <f t="shared" si="107"/>
        <v>15.35989</v>
      </c>
      <c r="K376" s="417">
        <f t="shared" si="107"/>
        <v>7</v>
      </c>
      <c r="L376" s="417">
        <f t="shared" si="107"/>
        <v>15.35989</v>
      </c>
      <c r="M376" s="417">
        <f t="shared" si="107"/>
        <v>0</v>
      </c>
      <c r="N376" s="417">
        <f t="shared" si="107"/>
        <v>15.35989</v>
      </c>
      <c r="O376" s="417">
        <f t="shared" si="107"/>
        <v>0</v>
      </c>
      <c r="P376" s="417">
        <f t="shared" si="107"/>
        <v>15.35989</v>
      </c>
      <c r="Q376" s="417">
        <f t="shared" si="107"/>
        <v>0</v>
      </c>
      <c r="R376" s="417">
        <f t="shared" si="107"/>
        <v>15.35989</v>
      </c>
      <c r="S376" s="417">
        <f t="shared" si="107"/>
        <v>0</v>
      </c>
      <c r="T376" s="417">
        <f t="shared" si="107"/>
        <v>0</v>
      </c>
      <c r="U376" s="417">
        <f t="shared" si="107"/>
        <v>0</v>
      </c>
      <c r="V376" s="417">
        <f t="shared" si="107"/>
        <v>0</v>
      </c>
      <c r="W376" s="417">
        <f t="shared" si="107"/>
        <v>0</v>
      </c>
      <c r="X376" s="417"/>
      <c r="Y376" s="417">
        <f>SUM(Y375)</f>
        <v>15.35989</v>
      </c>
      <c r="Z376" s="41"/>
      <c r="AA376" s="41"/>
      <c r="AB376"/>
      <c r="AC376" s="499">
        <f>Y376</f>
        <v>15.35989</v>
      </c>
      <c r="AE376" s="417"/>
      <c r="AF376" s="417"/>
    </row>
    <row r="377" spans="1:32" ht="17.25" customHeight="1">
      <c r="B377" s="4"/>
      <c r="C377" s="5"/>
      <c r="D377" s="5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395"/>
      <c r="AB377"/>
    </row>
    <row r="378" spans="1:32" ht="17.25" customHeight="1">
      <c r="B378" s="4"/>
      <c r="C378" s="5"/>
      <c r="D378" s="5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395"/>
      <c r="AB378"/>
    </row>
    <row r="379" spans="1:32" ht="42.75" customHeight="1">
      <c r="A379" s="75" t="s">
        <v>313</v>
      </c>
      <c r="B379" s="8" t="s">
        <v>456</v>
      </c>
      <c r="C379" s="507" t="s">
        <v>524</v>
      </c>
      <c r="D379" s="508" t="s">
        <v>315</v>
      </c>
      <c r="E379" s="393" t="s">
        <v>523</v>
      </c>
      <c r="F379" s="393" t="s">
        <v>525</v>
      </c>
      <c r="G379" s="460" t="s">
        <v>534</v>
      </c>
      <c r="H379" s="393" t="s">
        <v>526</v>
      </c>
      <c r="I379" s="460" t="s">
        <v>535</v>
      </c>
      <c r="J379" s="393" t="s">
        <v>527</v>
      </c>
      <c r="K379" s="460" t="s">
        <v>536</v>
      </c>
      <c r="L379" s="393" t="s">
        <v>528</v>
      </c>
      <c r="M379" s="460" t="s">
        <v>537</v>
      </c>
      <c r="N379" s="393" t="s">
        <v>529</v>
      </c>
      <c r="O379" s="460" t="s">
        <v>538</v>
      </c>
      <c r="P379" s="393" t="s">
        <v>530</v>
      </c>
      <c r="Q379" s="460" t="s">
        <v>539</v>
      </c>
      <c r="R379" s="393" t="s">
        <v>531</v>
      </c>
      <c r="S379" s="460" t="s">
        <v>540</v>
      </c>
      <c r="T379" s="393" t="s">
        <v>532</v>
      </c>
      <c r="U379" s="460" t="s">
        <v>541</v>
      </c>
      <c r="V379" s="393" t="s">
        <v>533</v>
      </c>
      <c r="W379" s="460" t="s">
        <v>542</v>
      </c>
      <c r="X379" s="10"/>
      <c r="Y379" s="393" t="s">
        <v>543</v>
      </c>
      <c r="Z379" s="10" t="s">
        <v>309</v>
      </c>
      <c r="AA379" s="396" t="s">
        <v>7</v>
      </c>
      <c r="AB379"/>
    </row>
    <row r="380" spans="1:32" ht="12.75" hidden="1" customHeight="1">
      <c r="B380" s="69"/>
      <c r="C380" s="5"/>
      <c r="D380" s="5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395"/>
      <c r="AB380"/>
    </row>
    <row r="381" spans="1:32">
      <c r="A381" s="75" t="s">
        <v>457</v>
      </c>
      <c r="B381" s="11" t="s">
        <v>345</v>
      </c>
      <c r="C381" s="31">
        <v>300</v>
      </c>
      <c r="D381" s="31">
        <v>300</v>
      </c>
      <c r="E381" s="14">
        <v>98.460899999999995</v>
      </c>
      <c r="F381" s="14">
        <v>124.9709</v>
      </c>
      <c r="G381" s="14">
        <f>F381-E381</f>
        <v>26.510000000000005</v>
      </c>
      <c r="H381" s="14">
        <v>151.48089999999999</v>
      </c>
      <c r="I381" s="14">
        <f>H381-F381</f>
        <v>26.509999999999991</v>
      </c>
      <c r="J381" s="14">
        <v>192.67683</v>
      </c>
      <c r="K381" s="25">
        <f>J381-H381</f>
        <v>41.195930000000004</v>
      </c>
      <c r="L381" s="14">
        <v>219.18682999999999</v>
      </c>
      <c r="M381" s="34">
        <f>L381-J381</f>
        <v>26.509999999999991</v>
      </c>
      <c r="N381" s="14">
        <v>245.69683000000001</v>
      </c>
      <c r="O381" s="34">
        <f>N381-L381</f>
        <v>26.510000000000019</v>
      </c>
      <c r="P381" s="14">
        <v>272.20683000000002</v>
      </c>
      <c r="Q381" s="25">
        <f>P381-N381</f>
        <v>26.510000000000019</v>
      </c>
      <c r="R381" s="14">
        <v>298.71683000000002</v>
      </c>
      <c r="S381" s="34">
        <f>R381-P381</f>
        <v>26.509999999999991</v>
      </c>
      <c r="T381" s="14"/>
      <c r="U381" s="14"/>
      <c r="V381" s="14"/>
      <c r="W381" s="14"/>
      <c r="X381" s="14"/>
      <c r="Y381" s="25">
        <f>E381+G381+I381+K381+M381+O381+Q381+S381+U381+W381</f>
        <v>298.71683000000002</v>
      </c>
      <c r="Z381" s="26">
        <f>(Y381/C381)*100</f>
        <v>99.572276666666667</v>
      </c>
      <c r="AA381" s="26">
        <f>(Y381/D381)*100</f>
        <v>99.572276666666667</v>
      </c>
      <c r="AB381"/>
    </row>
    <row r="382" spans="1:32">
      <c r="B382" s="399" t="s">
        <v>458</v>
      </c>
      <c r="C382" s="33">
        <v>120</v>
      </c>
      <c r="D382" s="33">
        <v>120</v>
      </c>
      <c r="E382" s="14">
        <v>0</v>
      </c>
      <c r="F382" s="14"/>
      <c r="G382" s="14"/>
      <c r="H382" s="34"/>
      <c r="I382" s="14">
        <f>H382-F382</f>
        <v>0</v>
      </c>
      <c r="J382" s="34"/>
      <c r="K382" s="25">
        <f>J382-H382</f>
        <v>0</v>
      </c>
      <c r="L382" s="34"/>
      <c r="M382" s="34">
        <f>L382-J382</f>
        <v>0</v>
      </c>
      <c r="N382" s="34"/>
      <c r="O382" s="34">
        <f>N382-L382</f>
        <v>0</v>
      </c>
      <c r="P382" s="34"/>
      <c r="Q382" s="25">
        <f>P382-N382</f>
        <v>0</v>
      </c>
      <c r="R382" s="34"/>
      <c r="S382" s="34">
        <f>R382-P382</f>
        <v>0</v>
      </c>
      <c r="T382" s="34"/>
      <c r="U382" s="34"/>
      <c r="V382" s="34"/>
      <c r="W382" s="34"/>
      <c r="X382" s="34"/>
      <c r="Y382" s="25">
        <f>E382+G382+I382+K382+M382+O382+Q382+S382+U382+W382</f>
        <v>0</v>
      </c>
      <c r="Z382" s="26">
        <f>(Y382/C382)*100</f>
        <v>0</v>
      </c>
      <c r="AA382" s="26">
        <f>(Y382/D382)*100</f>
        <v>0</v>
      </c>
      <c r="AB382"/>
    </row>
    <row r="383" spans="1:32">
      <c r="B383" s="573" t="s">
        <v>335</v>
      </c>
      <c r="C383" s="33">
        <v>180</v>
      </c>
      <c r="D383" s="33">
        <v>180</v>
      </c>
      <c r="E383" s="33">
        <v>70.340369999999993</v>
      </c>
      <c r="F383" s="33">
        <v>70.340369999999993</v>
      </c>
      <c r="G383" s="520">
        <f>F383-E383</f>
        <v>0</v>
      </c>
      <c r="H383" s="34">
        <v>72.673370000000006</v>
      </c>
      <c r="I383" s="14">
        <f>H383-F383</f>
        <v>2.3330000000000126</v>
      </c>
      <c r="J383" s="34">
        <v>86.14837</v>
      </c>
      <c r="K383" s="25">
        <f>J383-H383</f>
        <v>13.474999999999994</v>
      </c>
      <c r="L383" s="34">
        <v>110.62667</v>
      </c>
      <c r="M383" s="34">
        <f>L383-J383</f>
        <v>24.478300000000004</v>
      </c>
      <c r="N383" s="34">
        <v>120.88767</v>
      </c>
      <c r="O383" s="34">
        <f>N383-L383</f>
        <v>10.260999999999996</v>
      </c>
      <c r="P383" s="34">
        <v>130.90967000000001</v>
      </c>
      <c r="Q383" s="25">
        <f>P383-N383</f>
        <v>10.022000000000006</v>
      </c>
      <c r="R383" s="34">
        <v>155.01767000000001</v>
      </c>
      <c r="S383" s="34">
        <f>R383-P383</f>
        <v>24.108000000000004</v>
      </c>
      <c r="T383" s="34"/>
      <c r="U383" s="34"/>
      <c r="V383" s="34"/>
      <c r="W383" s="34"/>
      <c r="X383" s="34"/>
      <c r="Y383" s="25">
        <f>E383+G383+I383+K383+M383+O383+Q383+S383+U383+W383</f>
        <v>155.01767000000001</v>
      </c>
      <c r="Z383" s="26">
        <f>(Y383/C383)*100</f>
        <v>86.12092777777778</v>
      </c>
      <c r="AA383" s="26">
        <f>(Y383/D383)*100</f>
        <v>86.12092777777778</v>
      </c>
      <c r="AB383"/>
    </row>
    <row r="384" spans="1:32">
      <c r="B384" s="18" t="s">
        <v>10</v>
      </c>
      <c r="C384" s="19">
        <f>SUM(C381:C383)</f>
        <v>600</v>
      </c>
      <c r="D384" s="19">
        <f>SUM(D381:D383)</f>
        <v>600</v>
      </c>
      <c r="E384" s="20">
        <f>SUM(E381:E383)</f>
        <v>168.80126999999999</v>
      </c>
      <c r="F384" s="20">
        <f t="shared" ref="F384:Y384" si="108">SUM(F381:F383)</f>
        <v>195.31126999999998</v>
      </c>
      <c r="G384" s="20">
        <f>SUM(G381:G383)</f>
        <v>26.510000000000005</v>
      </c>
      <c r="H384" s="20">
        <f t="shared" si="108"/>
        <v>224.15427</v>
      </c>
      <c r="I384" s="20">
        <f t="shared" si="108"/>
        <v>28.843000000000004</v>
      </c>
      <c r="J384" s="20">
        <f t="shared" si="108"/>
        <v>278.8252</v>
      </c>
      <c r="K384" s="20">
        <f t="shared" si="108"/>
        <v>54.670929999999998</v>
      </c>
      <c r="L384" s="20">
        <f t="shared" si="108"/>
        <v>329.81349999999998</v>
      </c>
      <c r="M384" s="20">
        <f t="shared" si="108"/>
        <v>50.988299999999995</v>
      </c>
      <c r="N384" s="20">
        <f t="shared" si="108"/>
        <v>366.58449999999999</v>
      </c>
      <c r="O384" s="20">
        <f t="shared" si="108"/>
        <v>36.771000000000015</v>
      </c>
      <c r="P384" s="20">
        <f t="shared" si="108"/>
        <v>403.11650000000003</v>
      </c>
      <c r="Q384" s="20">
        <f t="shared" si="108"/>
        <v>36.532000000000025</v>
      </c>
      <c r="R384" s="20">
        <f t="shared" si="108"/>
        <v>453.73450000000003</v>
      </c>
      <c r="S384" s="20">
        <f t="shared" si="108"/>
        <v>50.617999999999995</v>
      </c>
      <c r="T384" s="20">
        <f t="shared" si="108"/>
        <v>0</v>
      </c>
      <c r="U384" s="20">
        <f t="shared" si="108"/>
        <v>0</v>
      </c>
      <c r="V384" s="20">
        <f t="shared" si="108"/>
        <v>0</v>
      </c>
      <c r="W384" s="20">
        <f t="shared" si="108"/>
        <v>0</v>
      </c>
      <c r="X384" s="20"/>
      <c r="Y384" s="20">
        <f t="shared" si="108"/>
        <v>453.73450000000003</v>
      </c>
      <c r="Z384" s="18">
        <f>(Y384/C384)*100</f>
        <v>75.622416666666666</v>
      </c>
      <c r="AA384" s="18">
        <f>(Y384/D384)*100</f>
        <v>75.622416666666666</v>
      </c>
      <c r="AB384"/>
    </row>
    <row r="385" spans="1:32" ht="17.25" customHeight="1">
      <c r="B385" s="4"/>
      <c r="C385" s="5"/>
      <c r="D385" s="5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395"/>
      <c r="AB385"/>
    </row>
    <row r="386" spans="1:32" ht="17.25" customHeight="1">
      <c r="B386" s="4"/>
      <c r="C386" s="5"/>
      <c r="D386" s="5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395"/>
      <c r="AB386"/>
    </row>
    <row r="387" spans="1:32" ht="43.5" customHeight="1">
      <c r="A387" s="75" t="s">
        <v>313</v>
      </c>
      <c r="B387" s="490" t="s">
        <v>587</v>
      </c>
      <c r="C387" s="507" t="s">
        <v>524</v>
      </c>
      <c r="D387" s="508" t="s">
        <v>315</v>
      </c>
      <c r="E387" s="393" t="s">
        <v>523</v>
      </c>
      <c r="F387" s="393" t="s">
        <v>525</v>
      </c>
      <c r="G387" s="460" t="s">
        <v>534</v>
      </c>
      <c r="H387" s="393" t="s">
        <v>526</v>
      </c>
      <c r="I387" s="460" t="s">
        <v>535</v>
      </c>
      <c r="J387" s="393" t="s">
        <v>527</v>
      </c>
      <c r="K387" s="460" t="s">
        <v>536</v>
      </c>
      <c r="L387" s="393" t="s">
        <v>528</v>
      </c>
      <c r="M387" s="460" t="s">
        <v>537</v>
      </c>
      <c r="N387" s="393" t="s">
        <v>529</v>
      </c>
      <c r="O387" s="460" t="s">
        <v>538</v>
      </c>
      <c r="P387" s="393" t="s">
        <v>530</v>
      </c>
      <c r="Q387" s="460" t="s">
        <v>539</v>
      </c>
      <c r="R387" s="393" t="s">
        <v>531</v>
      </c>
      <c r="S387" s="460" t="s">
        <v>540</v>
      </c>
      <c r="T387" s="393" t="s">
        <v>532</v>
      </c>
      <c r="U387" s="460" t="s">
        <v>541</v>
      </c>
      <c r="V387" s="393" t="s">
        <v>533</v>
      </c>
      <c r="W387" s="460" t="s">
        <v>542</v>
      </c>
      <c r="X387" s="10"/>
      <c r="Y387" s="393" t="s">
        <v>543</v>
      </c>
      <c r="Z387" s="492"/>
      <c r="AA387" s="493"/>
      <c r="AB387"/>
      <c r="AC387" s="495"/>
      <c r="AE387" s="496"/>
      <c r="AF387" s="497"/>
    </row>
    <row r="388" spans="1:32" ht="49.5" customHeight="1">
      <c r="A388" s="2" t="s">
        <v>580</v>
      </c>
      <c r="B388" s="491" t="s">
        <v>582</v>
      </c>
      <c r="C388" s="23">
        <v>0</v>
      </c>
      <c r="D388" s="23">
        <v>450</v>
      </c>
      <c r="E388" s="34">
        <v>0</v>
      </c>
      <c r="F388" s="34"/>
      <c r="G388" s="34"/>
      <c r="H388" s="34">
        <v>396.41656999999998</v>
      </c>
      <c r="I388" s="34">
        <f>H388-F388</f>
        <v>396.41656999999998</v>
      </c>
      <c r="J388" s="34">
        <v>396.41656999999998</v>
      </c>
      <c r="K388" s="25">
        <f>J388-H388</f>
        <v>0</v>
      </c>
      <c r="L388" s="34">
        <v>396.41656999999998</v>
      </c>
      <c r="M388" s="34">
        <f>L388-J388</f>
        <v>0</v>
      </c>
      <c r="N388" s="34">
        <v>396.41656999999998</v>
      </c>
      <c r="O388" s="34">
        <f>N388-L388</f>
        <v>0</v>
      </c>
      <c r="P388" s="34">
        <v>396.41656999999998</v>
      </c>
      <c r="Q388" s="25">
        <f>P388-N388</f>
        <v>0</v>
      </c>
      <c r="R388" s="34">
        <v>396.41656999999998</v>
      </c>
      <c r="S388" s="34">
        <f>R388-P388</f>
        <v>0</v>
      </c>
      <c r="T388" s="34"/>
      <c r="U388" s="34"/>
      <c r="V388" s="34"/>
      <c r="W388" s="34"/>
      <c r="X388" s="34"/>
      <c r="Y388" s="25">
        <f>E388+G388+I388+K388+M388+O388+Q388+S388+U388+W388</f>
        <v>396.41656999999998</v>
      </c>
      <c r="Z388" s="494"/>
      <c r="AA388" s="494"/>
      <c r="AB388"/>
      <c r="AC388" s="501" t="s">
        <v>581</v>
      </c>
      <c r="AE388" s="497"/>
      <c r="AF388" s="497"/>
    </row>
    <row r="389" spans="1:32" ht="14.25" customHeight="1">
      <c r="B389" s="41" t="s">
        <v>10</v>
      </c>
      <c r="C389" s="42">
        <f>C388</f>
        <v>0</v>
      </c>
      <c r="D389" s="42">
        <f>D388</f>
        <v>450</v>
      </c>
      <c r="E389" s="417">
        <f>SUM(E388)</f>
        <v>0</v>
      </c>
      <c r="F389" s="417">
        <f t="shared" ref="F389:W389" si="109">SUM(F388)</f>
        <v>0</v>
      </c>
      <c r="G389" s="417">
        <f>SUM(G388)</f>
        <v>0</v>
      </c>
      <c r="H389" s="417">
        <f t="shared" si="109"/>
        <v>396.41656999999998</v>
      </c>
      <c r="I389" s="417">
        <f t="shared" si="109"/>
        <v>396.41656999999998</v>
      </c>
      <c r="J389" s="417">
        <f t="shared" si="109"/>
        <v>396.41656999999998</v>
      </c>
      <c r="K389" s="417">
        <f t="shared" si="109"/>
        <v>0</v>
      </c>
      <c r="L389" s="417">
        <f t="shared" si="109"/>
        <v>396.41656999999998</v>
      </c>
      <c r="M389" s="417">
        <f t="shared" si="109"/>
        <v>0</v>
      </c>
      <c r="N389" s="417">
        <f t="shared" si="109"/>
        <v>396.41656999999998</v>
      </c>
      <c r="O389" s="417">
        <f t="shared" si="109"/>
        <v>0</v>
      </c>
      <c r="P389" s="417">
        <f t="shared" si="109"/>
        <v>396.41656999999998</v>
      </c>
      <c r="Q389" s="417">
        <f t="shared" si="109"/>
        <v>0</v>
      </c>
      <c r="R389" s="417">
        <f t="shared" si="109"/>
        <v>396.41656999999998</v>
      </c>
      <c r="S389" s="417">
        <f t="shared" si="109"/>
        <v>0</v>
      </c>
      <c r="T389" s="417">
        <f t="shared" si="109"/>
        <v>0</v>
      </c>
      <c r="U389" s="417">
        <f t="shared" si="109"/>
        <v>0</v>
      </c>
      <c r="V389" s="417">
        <f t="shared" si="109"/>
        <v>0</v>
      </c>
      <c r="W389" s="417">
        <f t="shared" si="109"/>
        <v>0</v>
      </c>
      <c r="X389" s="417"/>
      <c r="Y389" s="417">
        <f>SUM(Y388)</f>
        <v>396.41656999999998</v>
      </c>
      <c r="Z389" s="41"/>
      <c r="AA389" s="41"/>
      <c r="AB389"/>
      <c r="AC389" s="499">
        <f>Y389+Y384</f>
        <v>850.15107</v>
      </c>
      <c r="AE389" s="417"/>
      <c r="AF389" s="417"/>
    </row>
    <row r="390" spans="1:32" ht="14.25" customHeight="1">
      <c r="B390" s="41"/>
      <c r="C390" s="42"/>
      <c r="D390" s="42"/>
      <c r="E390" s="417"/>
      <c r="F390" s="417"/>
      <c r="G390" s="417"/>
      <c r="H390" s="417"/>
      <c r="I390" s="417"/>
      <c r="J390" s="417"/>
      <c r="K390" s="417"/>
      <c r="L390" s="417"/>
      <c r="M390" s="417"/>
      <c r="N390" s="417"/>
      <c r="O390" s="417"/>
      <c r="P390" s="417"/>
      <c r="Q390" s="417"/>
      <c r="R390" s="417"/>
      <c r="S390" s="417"/>
      <c r="T390" s="417"/>
      <c r="U390" s="417"/>
      <c r="V390" s="417"/>
      <c r="W390" s="417"/>
      <c r="X390" s="417"/>
      <c r="Y390" s="417"/>
      <c r="Z390" s="41"/>
      <c r="AA390" s="41"/>
      <c r="AB390"/>
      <c r="AC390" s="561"/>
      <c r="AE390" s="417"/>
      <c r="AF390" s="417"/>
    </row>
    <row r="391" spans="1:32" ht="17.25" customHeight="1">
      <c r="B391" s="566" t="s">
        <v>649</v>
      </c>
      <c r="C391" s="565">
        <f>C384+C389</f>
        <v>600</v>
      </c>
      <c r="D391" s="565">
        <f>D384+D389</f>
        <v>1050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395"/>
      <c r="AB391"/>
    </row>
    <row r="392" spans="1:32" ht="17.25" customHeight="1">
      <c r="B392" s="4"/>
      <c r="C392" s="5"/>
      <c r="D392" s="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395"/>
      <c r="AB392"/>
      <c r="AC392"/>
    </row>
    <row r="393" spans="1:32" ht="39.75" customHeight="1">
      <c r="A393" s="75" t="s">
        <v>313</v>
      </c>
      <c r="B393" s="8" t="s">
        <v>459</v>
      </c>
      <c r="C393" s="507" t="s">
        <v>524</v>
      </c>
      <c r="D393" s="508" t="s">
        <v>315</v>
      </c>
      <c r="E393" s="393" t="s">
        <v>523</v>
      </c>
      <c r="F393" s="393" t="s">
        <v>525</v>
      </c>
      <c r="G393" s="460" t="s">
        <v>534</v>
      </c>
      <c r="H393" s="393" t="s">
        <v>526</v>
      </c>
      <c r="I393" s="460" t="s">
        <v>535</v>
      </c>
      <c r="J393" s="393" t="s">
        <v>527</v>
      </c>
      <c r="K393" s="460" t="s">
        <v>536</v>
      </c>
      <c r="L393" s="393" t="s">
        <v>528</v>
      </c>
      <c r="M393" s="460" t="s">
        <v>537</v>
      </c>
      <c r="N393" s="393" t="s">
        <v>529</v>
      </c>
      <c r="O393" s="460" t="s">
        <v>538</v>
      </c>
      <c r="P393" s="393" t="s">
        <v>530</v>
      </c>
      <c r="Q393" s="460" t="s">
        <v>539</v>
      </c>
      <c r="R393" s="393" t="s">
        <v>531</v>
      </c>
      <c r="S393" s="460" t="s">
        <v>540</v>
      </c>
      <c r="T393" s="393" t="s">
        <v>532</v>
      </c>
      <c r="U393" s="460" t="s">
        <v>541</v>
      </c>
      <c r="V393" s="393" t="s">
        <v>533</v>
      </c>
      <c r="W393" s="460" t="s">
        <v>542</v>
      </c>
      <c r="X393" s="10"/>
      <c r="Y393" s="393" t="s">
        <v>543</v>
      </c>
      <c r="Z393" s="10" t="s">
        <v>309</v>
      </c>
      <c r="AA393" s="396" t="s">
        <v>7</v>
      </c>
      <c r="AB393"/>
      <c r="AC393"/>
    </row>
    <row r="394" spans="1:32">
      <c r="A394" s="75" t="s">
        <v>460</v>
      </c>
      <c r="B394" s="11" t="s">
        <v>331</v>
      </c>
      <c r="C394" s="31">
        <v>1</v>
      </c>
      <c r="D394" s="13">
        <v>1</v>
      </c>
      <c r="E394" s="463">
        <v>0</v>
      </c>
      <c r="F394" s="14"/>
      <c r="G394" s="14"/>
      <c r="H394" s="14"/>
      <c r="I394" s="14">
        <f>H394-F394</f>
        <v>0</v>
      </c>
      <c r="J394" s="14"/>
      <c r="K394" s="25">
        <f>J394-H394</f>
        <v>0</v>
      </c>
      <c r="L394" s="14">
        <v>0</v>
      </c>
      <c r="M394" s="34">
        <f>L394-J394</f>
        <v>0</v>
      </c>
      <c r="N394" s="14"/>
      <c r="O394" s="34">
        <f>N394-L394</f>
        <v>0</v>
      </c>
      <c r="P394" s="14"/>
      <c r="Q394" s="25">
        <f>P394-N394</f>
        <v>0</v>
      </c>
      <c r="R394" s="14"/>
      <c r="S394" s="34">
        <f>R394-P394</f>
        <v>0</v>
      </c>
      <c r="T394" s="14"/>
      <c r="U394" s="14"/>
      <c r="V394" s="14"/>
      <c r="W394" s="14"/>
      <c r="X394" s="14"/>
      <c r="Y394" s="25">
        <f>E394+G394+I394+K394+M394+O394+Q394+S394+U394+W394</f>
        <v>0</v>
      </c>
      <c r="Z394" s="26">
        <f>(Y394/C394)*100</f>
        <v>0</v>
      </c>
      <c r="AA394" s="26">
        <f>(Y394/D394)*100</f>
        <v>0</v>
      </c>
      <c r="AB394"/>
      <c r="AC394"/>
    </row>
    <row r="395" spans="1:32">
      <c r="B395" s="11" t="s">
        <v>345</v>
      </c>
      <c r="C395" s="31">
        <v>1</v>
      </c>
      <c r="D395" s="23">
        <v>1</v>
      </c>
      <c r="E395" s="463">
        <v>0</v>
      </c>
      <c r="F395" s="34"/>
      <c r="G395" s="34"/>
      <c r="H395" s="34"/>
      <c r="I395" s="14">
        <f>H395-F395</f>
        <v>0</v>
      </c>
      <c r="J395" s="34"/>
      <c r="K395" s="25">
        <f>J395-H395</f>
        <v>0</v>
      </c>
      <c r="L395" s="34">
        <v>0</v>
      </c>
      <c r="M395" s="34">
        <f>L395-J395</f>
        <v>0</v>
      </c>
      <c r="N395" s="34"/>
      <c r="O395" s="34">
        <f>N395-L395</f>
        <v>0</v>
      </c>
      <c r="P395" s="34"/>
      <c r="Q395" s="25">
        <f>P395-N395</f>
        <v>0</v>
      </c>
      <c r="R395" s="34"/>
      <c r="S395" s="34">
        <f>R395-P395</f>
        <v>0</v>
      </c>
      <c r="T395" s="34"/>
      <c r="U395" s="34"/>
      <c r="V395" s="34"/>
      <c r="W395" s="34"/>
      <c r="X395" s="34"/>
      <c r="Y395" s="25">
        <f>E395+G395+I395+K395+M395+O395+Q395+S395+U395+W395</f>
        <v>0</v>
      </c>
      <c r="Z395" s="26">
        <f>(Y395/C395)*100</f>
        <v>0</v>
      </c>
      <c r="AA395" s="26">
        <f>(Y395/D395)*100</f>
        <v>0</v>
      </c>
      <c r="AB395"/>
      <c r="AC395"/>
    </row>
    <row r="396" spans="1:32">
      <c r="B396" s="11" t="s">
        <v>461</v>
      </c>
      <c r="C396" s="31">
        <v>15</v>
      </c>
      <c r="D396" s="23">
        <v>15</v>
      </c>
      <c r="E396" s="463">
        <v>0</v>
      </c>
      <c r="F396" s="34"/>
      <c r="G396" s="34"/>
      <c r="H396" s="34"/>
      <c r="I396" s="14">
        <f>H396-F396</f>
        <v>0</v>
      </c>
      <c r="J396" s="34"/>
      <c r="K396" s="25">
        <f>J396-H396</f>
        <v>0</v>
      </c>
      <c r="L396" s="34">
        <v>0</v>
      </c>
      <c r="M396" s="34">
        <f>L396-J396</f>
        <v>0</v>
      </c>
      <c r="N396" s="34"/>
      <c r="O396" s="34">
        <f>N396-L396</f>
        <v>0</v>
      </c>
      <c r="P396" s="34"/>
      <c r="Q396" s="25">
        <f>P396-N396</f>
        <v>0</v>
      </c>
      <c r="R396" s="34"/>
      <c r="S396" s="34">
        <f>R396-P396</f>
        <v>0</v>
      </c>
      <c r="T396" s="34"/>
      <c r="U396" s="34"/>
      <c r="V396" s="34"/>
      <c r="W396" s="34"/>
      <c r="X396" s="34"/>
      <c r="Y396" s="25">
        <f>E396+G396+I396+K396+M396+O396+Q396+S396+U396+W396</f>
        <v>0</v>
      </c>
      <c r="Z396" s="26">
        <f>(Y396/C396)*100</f>
        <v>0</v>
      </c>
      <c r="AA396" s="26">
        <f>(Y396/D396)*100</f>
        <v>0</v>
      </c>
      <c r="AB396"/>
      <c r="AC396"/>
    </row>
    <row r="397" spans="1:32">
      <c r="B397" s="18" t="s">
        <v>10</v>
      </c>
      <c r="C397" s="19">
        <f t="shared" ref="C397:K397" si="110">SUM(C394:C396)</f>
        <v>17</v>
      </c>
      <c r="D397" s="19">
        <f t="shared" si="110"/>
        <v>17</v>
      </c>
      <c r="E397" s="20">
        <f t="shared" si="110"/>
        <v>0</v>
      </c>
      <c r="F397" s="20">
        <f t="shared" si="110"/>
        <v>0</v>
      </c>
      <c r="G397" s="20">
        <f t="shared" si="110"/>
        <v>0</v>
      </c>
      <c r="H397" s="20">
        <f t="shared" si="110"/>
        <v>0</v>
      </c>
      <c r="I397" s="20">
        <f t="shared" si="110"/>
        <v>0</v>
      </c>
      <c r="J397" s="20">
        <f t="shared" si="110"/>
        <v>0</v>
      </c>
      <c r="K397" s="20">
        <f t="shared" si="110"/>
        <v>0</v>
      </c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>
        <f>SUM(Y394:Y396)</f>
        <v>0</v>
      </c>
      <c r="Z397" s="18">
        <f>(Y397/C397)*100</f>
        <v>0</v>
      </c>
      <c r="AA397" s="18">
        <f>(Y397/D397)*100</f>
        <v>0</v>
      </c>
      <c r="AB397"/>
      <c r="AC397"/>
    </row>
    <row r="398" spans="1:32" ht="17.25" customHeight="1">
      <c r="B398" s="4"/>
      <c r="C398" s="5"/>
      <c r="D398" s="5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395"/>
      <c r="AB398"/>
      <c r="AC398"/>
    </row>
    <row r="399" spans="1:32" ht="17.25" customHeight="1">
      <c r="B399" s="4"/>
      <c r="C399" s="5"/>
      <c r="D399" s="5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395"/>
      <c r="AB399"/>
      <c r="AC399"/>
    </row>
    <row r="400" spans="1:32" ht="40.5" customHeight="1">
      <c r="B400" s="8" t="s">
        <v>462</v>
      </c>
      <c r="C400" s="507" t="s">
        <v>524</v>
      </c>
      <c r="D400" s="508" t="s">
        <v>315</v>
      </c>
      <c r="E400" s="393" t="s">
        <v>523</v>
      </c>
      <c r="F400" s="393" t="s">
        <v>525</v>
      </c>
      <c r="G400" s="460" t="s">
        <v>534</v>
      </c>
      <c r="H400" s="393" t="s">
        <v>526</v>
      </c>
      <c r="I400" s="460" t="s">
        <v>535</v>
      </c>
      <c r="J400" s="393" t="s">
        <v>527</v>
      </c>
      <c r="K400" s="460" t="s">
        <v>536</v>
      </c>
      <c r="L400" s="393" t="s">
        <v>528</v>
      </c>
      <c r="M400" s="460" t="s">
        <v>537</v>
      </c>
      <c r="N400" s="393" t="s">
        <v>529</v>
      </c>
      <c r="O400" s="460" t="s">
        <v>538</v>
      </c>
      <c r="P400" s="393" t="s">
        <v>530</v>
      </c>
      <c r="Q400" s="460" t="s">
        <v>539</v>
      </c>
      <c r="R400" s="393" t="s">
        <v>531</v>
      </c>
      <c r="S400" s="460" t="s">
        <v>540</v>
      </c>
      <c r="T400" s="393" t="s">
        <v>532</v>
      </c>
      <c r="U400" s="460" t="s">
        <v>541</v>
      </c>
      <c r="V400" s="393" t="s">
        <v>533</v>
      </c>
      <c r="W400" s="460" t="s">
        <v>542</v>
      </c>
      <c r="X400" s="10"/>
      <c r="Y400" s="393" t="s">
        <v>543</v>
      </c>
      <c r="Z400" s="10" t="s">
        <v>309</v>
      </c>
      <c r="AA400" s="396" t="s">
        <v>7</v>
      </c>
      <c r="AB400"/>
      <c r="AC400"/>
    </row>
    <row r="401" spans="1:29">
      <c r="A401" s="75" t="s">
        <v>463</v>
      </c>
      <c r="B401" s="11" t="s">
        <v>331</v>
      </c>
      <c r="C401" s="31">
        <v>1</v>
      </c>
      <c r="D401" s="31">
        <v>1</v>
      </c>
      <c r="E401" s="463">
        <v>0</v>
      </c>
      <c r="F401" s="14"/>
      <c r="G401" s="14"/>
      <c r="H401" s="14"/>
      <c r="I401" s="14">
        <f>H401-F401</f>
        <v>0</v>
      </c>
      <c r="J401" s="14">
        <v>0.215</v>
      </c>
      <c r="K401" s="25">
        <f>J401-H401</f>
        <v>0.215</v>
      </c>
      <c r="L401" s="14">
        <v>0.215</v>
      </c>
      <c r="M401" s="34">
        <f>L401-J401</f>
        <v>0</v>
      </c>
      <c r="N401" s="14">
        <v>0.215</v>
      </c>
      <c r="O401" s="34">
        <f>N401-L401</f>
        <v>0</v>
      </c>
      <c r="P401" s="14">
        <v>0.215</v>
      </c>
      <c r="Q401" s="25">
        <f>P401-N401</f>
        <v>0</v>
      </c>
      <c r="R401" s="14">
        <v>0.215</v>
      </c>
      <c r="S401" s="34">
        <f>R401-P401</f>
        <v>0</v>
      </c>
      <c r="T401" s="14"/>
      <c r="U401" s="14"/>
      <c r="V401" s="14"/>
      <c r="W401" s="14"/>
      <c r="X401" s="14"/>
      <c r="Y401" s="25">
        <f>E401+G401+I401+K401+M401+O401+Q401+S401+U401+W401</f>
        <v>0.215</v>
      </c>
      <c r="Z401" s="26">
        <f>(Y401/C401)*100</f>
        <v>21.5</v>
      </c>
      <c r="AA401" s="26">
        <f>(Y401/D401)*100</f>
        <v>21.5</v>
      </c>
      <c r="AB401"/>
      <c r="AC401"/>
    </row>
    <row r="402" spans="1:29">
      <c r="B402" s="11" t="s">
        <v>345</v>
      </c>
      <c r="C402" s="31">
        <v>9</v>
      </c>
      <c r="D402" s="31">
        <v>9</v>
      </c>
      <c r="E402" s="463">
        <v>0</v>
      </c>
      <c r="F402" s="14"/>
      <c r="G402" s="14"/>
      <c r="H402" s="14"/>
      <c r="I402" s="14">
        <f>H402-F402</f>
        <v>0</v>
      </c>
      <c r="J402" s="14"/>
      <c r="K402" s="25">
        <f>J402-H402</f>
        <v>0</v>
      </c>
      <c r="L402" s="14"/>
      <c r="M402" s="34">
        <f>L402-J402</f>
        <v>0</v>
      </c>
      <c r="N402" s="14"/>
      <c r="O402" s="34">
        <f>N402-L402</f>
        <v>0</v>
      </c>
      <c r="P402" s="14"/>
      <c r="Q402" s="25">
        <f>P402-N402</f>
        <v>0</v>
      </c>
      <c r="R402" s="14"/>
      <c r="S402" s="34">
        <f>R402-P402</f>
        <v>0</v>
      </c>
      <c r="T402" s="14"/>
      <c r="U402" s="14"/>
      <c r="V402" s="14"/>
      <c r="W402" s="14"/>
      <c r="X402" s="14"/>
      <c r="Y402" s="25">
        <f>E402+G402+I402+K402+M402+O402+Q402+S402+U402+W402</f>
        <v>0</v>
      </c>
      <c r="Z402" s="26">
        <f>(Y402/C402)*100</f>
        <v>0</v>
      </c>
      <c r="AA402" s="26">
        <f>(Y402/D402)*100</f>
        <v>0</v>
      </c>
      <c r="AB402"/>
      <c r="AC402"/>
    </row>
    <row r="403" spans="1:29" ht="18.75" customHeight="1">
      <c r="B403" s="399" t="s">
        <v>464</v>
      </c>
      <c r="C403" s="33">
        <v>3100</v>
      </c>
      <c r="D403" s="33">
        <v>3100</v>
      </c>
      <c r="E403" s="34">
        <v>635.58199999999999</v>
      </c>
      <c r="F403" s="34">
        <v>919.75400000000002</v>
      </c>
      <c r="G403" s="34">
        <f>F403-E403</f>
        <v>284.17200000000003</v>
      </c>
      <c r="H403" s="34">
        <v>1236.0920000000001</v>
      </c>
      <c r="I403" s="14">
        <f>H403-F403</f>
        <v>316.33800000000008</v>
      </c>
      <c r="J403" s="34">
        <v>1562.0709999999999</v>
      </c>
      <c r="K403" s="25">
        <f>J403-H403</f>
        <v>325.97899999999981</v>
      </c>
      <c r="L403" s="34">
        <v>1912.204</v>
      </c>
      <c r="M403" s="34">
        <f>L403-J403</f>
        <v>350.13300000000004</v>
      </c>
      <c r="N403" s="34">
        <v>2261.98</v>
      </c>
      <c r="O403" s="34">
        <f>N403-L403</f>
        <v>349.77600000000007</v>
      </c>
      <c r="P403" s="34">
        <v>2598.1619999999998</v>
      </c>
      <c r="Q403" s="25">
        <f>P403-N403</f>
        <v>336.18199999999979</v>
      </c>
      <c r="R403" s="34">
        <v>2934.4470000000001</v>
      </c>
      <c r="S403" s="34">
        <f>R403-P403</f>
        <v>336.28500000000031</v>
      </c>
      <c r="T403" s="34"/>
      <c r="U403" s="34"/>
      <c r="V403" s="34"/>
      <c r="W403" s="34"/>
      <c r="X403" s="34"/>
      <c r="Y403" s="25">
        <f>E403+G403+I403+K403+M403+O403+Q403+S403+U403+W403</f>
        <v>2934.4470000000001</v>
      </c>
      <c r="Z403" s="26">
        <f>(Y403/C403)*100</f>
        <v>94.659580645161284</v>
      </c>
      <c r="AA403" s="26">
        <f>(Y403/D403)*100</f>
        <v>94.659580645161284</v>
      </c>
      <c r="AB403"/>
      <c r="AC403"/>
    </row>
    <row r="404" spans="1:29">
      <c r="B404" s="11" t="s">
        <v>335</v>
      </c>
      <c r="C404" s="31">
        <v>20</v>
      </c>
      <c r="D404" s="31">
        <v>20</v>
      </c>
      <c r="E404" s="463">
        <v>0</v>
      </c>
      <c r="F404" s="14"/>
      <c r="G404" s="14"/>
      <c r="H404" s="14"/>
      <c r="I404" s="14">
        <f>H404-F404</f>
        <v>0</v>
      </c>
      <c r="J404" s="14"/>
      <c r="K404" s="25">
        <f>J404-H404</f>
        <v>0</v>
      </c>
      <c r="L404" s="14"/>
      <c r="M404" s="34">
        <f>L404-J404</f>
        <v>0</v>
      </c>
      <c r="N404" s="14"/>
      <c r="O404" s="34">
        <f>N404-L404</f>
        <v>0</v>
      </c>
      <c r="P404" s="14"/>
      <c r="Q404" s="25">
        <f>P404-N404</f>
        <v>0</v>
      </c>
      <c r="R404" s="14"/>
      <c r="S404" s="34">
        <f>R404-P404</f>
        <v>0</v>
      </c>
      <c r="T404" s="14"/>
      <c r="U404" s="14"/>
      <c r="V404" s="14"/>
      <c r="W404" s="14"/>
      <c r="X404" s="14"/>
      <c r="Y404" s="25">
        <f>E404+G404+I404+K404+M404+O404+Q404+S404+U404+W404</f>
        <v>0</v>
      </c>
      <c r="Z404" s="26">
        <f>(Y404/C404)*100</f>
        <v>0</v>
      </c>
      <c r="AA404" s="26">
        <f>(Y404/D404)*100</f>
        <v>0</v>
      </c>
      <c r="AB404"/>
      <c r="AC404"/>
    </row>
    <row r="405" spans="1:29">
      <c r="B405" s="18" t="s">
        <v>10</v>
      </c>
      <c r="C405" s="19">
        <f>SUM(C401:C404)</f>
        <v>3130</v>
      </c>
      <c r="D405" s="19">
        <f>SUM(D401:D404)</f>
        <v>3130</v>
      </c>
      <c r="E405" s="19">
        <f t="shared" ref="E405:R405" si="111">SUM(E401:E404)</f>
        <v>635.58199999999999</v>
      </c>
      <c r="F405" s="19">
        <f t="shared" si="111"/>
        <v>919.75400000000002</v>
      </c>
      <c r="G405" s="19">
        <f t="shared" si="111"/>
        <v>284.17200000000003</v>
      </c>
      <c r="H405" s="19">
        <f t="shared" si="111"/>
        <v>1236.0920000000001</v>
      </c>
      <c r="I405" s="19">
        <f t="shared" si="111"/>
        <v>316.33800000000008</v>
      </c>
      <c r="J405" s="19">
        <f t="shared" si="111"/>
        <v>1562.2859999999998</v>
      </c>
      <c r="K405" s="19">
        <f t="shared" si="111"/>
        <v>326.19399999999979</v>
      </c>
      <c r="L405" s="19">
        <f t="shared" si="111"/>
        <v>1912.4189999999999</v>
      </c>
      <c r="M405" s="19">
        <f t="shared" si="111"/>
        <v>350.13300000000004</v>
      </c>
      <c r="N405" s="19">
        <f t="shared" si="111"/>
        <v>2262.1950000000002</v>
      </c>
      <c r="O405" s="19">
        <f t="shared" si="111"/>
        <v>349.77600000000007</v>
      </c>
      <c r="P405" s="19">
        <f t="shared" si="111"/>
        <v>2598.377</v>
      </c>
      <c r="Q405" s="19">
        <f t="shared" si="111"/>
        <v>336.18199999999979</v>
      </c>
      <c r="R405" s="76">
        <f t="shared" si="111"/>
        <v>2934.6620000000003</v>
      </c>
      <c r="S405" s="20"/>
      <c r="T405" s="20"/>
      <c r="U405" s="20"/>
      <c r="V405" s="20"/>
      <c r="W405" s="20"/>
      <c r="X405" s="20"/>
      <c r="Y405" s="76">
        <f>SUM(Y401:Y404)</f>
        <v>2934.6620000000003</v>
      </c>
      <c r="Z405" s="18">
        <f>(Y405/C405)*100</f>
        <v>93.759169329073487</v>
      </c>
      <c r="AA405" s="18">
        <f>(Y405/D405)*100</f>
        <v>93.759169329073487</v>
      </c>
      <c r="AB405"/>
      <c r="AC405"/>
    </row>
    <row r="406" spans="1:29" ht="17.25" customHeight="1">
      <c r="B406" s="4"/>
      <c r="C406" s="5"/>
      <c r="D406" s="5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395"/>
      <c r="AB406"/>
      <c r="AC406"/>
    </row>
    <row r="407" spans="1:29" ht="17.25" customHeight="1">
      <c r="B407" s="4"/>
      <c r="C407" s="5"/>
      <c r="D407" s="5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395"/>
      <c r="AB407"/>
      <c r="AC407"/>
    </row>
    <row r="408" spans="1:29" ht="39" customHeight="1">
      <c r="A408" s="75" t="s">
        <v>313</v>
      </c>
      <c r="B408" s="8" t="s">
        <v>465</v>
      </c>
      <c r="C408" s="507" t="s">
        <v>524</v>
      </c>
      <c r="D408" s="508" t="s">
        <v>315</v>
      </c>
      <c r="E408" s="393" t="s">
        <v>523</v>
      </c>
      <c r="F408" s="393" t="s">
        <v>525</v>
      </c>
      <c r="G408" s="460" t="s">
        <v>534</v>
      </c>
      <c r="H408" s="393" t="s">
        <v>526</v>
      </c>
      <c r="I408" s="460" t="s">
        <v>535</v>
      </c>
      <c r="J408" s="393" t="s">
        <v>527</v>
      </c>
      <c r="K408" s="460" t="s">
        <v>536</v>
      </c>
      <c r="L408" s="393" t="s">
        <v>528</v>
      </c>
      <c r="M408" s="460" t="s">
        <v>537</v>
      </c>
      <c r="N408" s="393" t="s">
        <v>529</v>
      </c>
      <c r="O408" s="460" t="s">
        <v>538</v>
      </c>
      <c r="P408" s="393" t="s">
        <v>530</v>
      </c>
      <c r="Q408" s="460" t="s">
        <v>539</v>
      </c>
      <c r="R408" s="393" t="s">
        <v>531</v>
      </c>
      <c r="S408" s="460" t="s">
        <v>540</v>
      </c>
      <c r="T408" s="393" t="s">
        <v>532</v>
      </c>
      <c r="U408" s="460" t="s">
        <v>541</v>
      </c>
      <c r="V408" s="393" t="s">
        <v>533</v>
      </c>
      <c r="W408" s="460" t="s">
        <v>542</v>
      </c>
      <c r="X408" s="10"/>
      <c r="Y408" s="393" t="s">
        <v>543</v>
      </c>
      <c r="Z408" s="10" t="s">
        <v>309</v>
      </c>
      <c r="AA408" s="396" t="s">
        <v>7</v>
      </c>
      <c r="AB408"/>
    </row>
    <row r="409" spans="1:29">
      <c r="A409" s="75" t="s">
        <v>466</v>
      </c>
      <c r="B409" s="11" t="s">
        <v>410</v>
      </c>
      <c r="C409" s="31">
        <v>2462</v>
      </c>
      <c r="D409" s="31">
        <v>2566.4699999999998</v>
      </c>
      <c r="E409" s="14">
        <v>416.85199999999998</v>
      </c>
      <c r="F409" s="14">
        <v>595.76599999999996</v>
      </c>
      <c r="G409" s="14">
        <f>F409-E409</f>
        <v>178.91399999999999</v>
      </c>
      <c r="H409" s="14">
        <v>747.01499999999999</v>
      </c>
      <c r="I409" s="14">
        <f>H409-F409</f>
        <v>151.24900000000002</v>
      </c>
      <c r="J409" s="14">
        <v>929.04100000000005</v>
      </c>
      <c r="K409" s="25">
        <f t="shared" ref="K409:K433" si="112">J409-H409</f>
        <v>182.02600000000007</v>
      </c>
      <c r="L409" s="14">
        <v>1159.8720000000001</v>
      </c>
      <c r="M409" s="34">
        <f t="shared" ref="M409:M433" si="113">L409-J409</f>
        <v>230.83100000000002</v>
      </c>
      <c r="N409" s="14">
        <v>1364.537</v>
      </c>
      <c r="O409" s="34">
        <f t="shared" ref="O409:O433" si="114">N409-L409</f>
        <v>204.66499999999996</v>
      </c>
      <c r="P409" s="14">
        <v>1565.4590000000001</v>
      </c>
      <c r="Q409" s="25">
        <f t="shared" ref="Q409:Q428" si="115">P409-N409</f>
        <v>200.92200000000003</v>
      </c>
      <c r="R409" s="14">
        <v>1788.268</v>
      </c>
      <c r="S409" s="34">
        <f t="shared" ref="S409:S418" si="116">R409-P409</f>
        <v>222.80899999999997</v>
      </c>
      <c r="T409" s="14"/>
      <c r="U409" s="14"/>
      <c r="V409" s="14"/>
      <c r="W409" s="14"/>
      <c r="X409" s="14"/>
      <c r="Y409" s="25">
        <f t="shared" ref="Y409:Y419" si="117">E409+G409+I409+K409+M409+O409+Q409+S409+U409+W409</f>
        <v>1788.268</v>
      </c>
      <c r="Z409" s="26">
        <f t="shared" ref="Z409:Z419" si="118">(Y409/C409)*100</f>
        <v>72.634768480909827</v>
      </c>
      <c r="AA409" s="26">
        <f t="shared" ref="AA409:AA419" si="119">(Y409/D409)*100</f>
        <v>69.678118193471974</v>
      </c>
      <c r="AB409"/>
    </row>
    <row r="410" spans="1:29">
      <c r="B410" s="11" t="s">
        <v>325</v>
      </c>
      <c r="C410" s="31">
        <v>30</v>
      </c>
      <c r="D410" s="31">
        <v>30</v>
      </c>
      <c r="E410" s="14">
        <v>4.3949999999999996</v>
      </c>
      <c r="F410" s="14">
        <v>6.2850000000000001</v>
      </c>
      <c r="G410" s="14">
        <f t="shared" ref="G410:G433" si="120">F410-E410</f>
        <v>1.8900000000000006</v>
      </c>
      <c r="H410" s="14">
        <v>6.9</v>
      </c>
      <c r="I410" s="14">
        <f t="shared" ref="I410:I433" si="121">H410-F410</f>
        <v>0.61500000000000021</v>
      </c>
      <c r="J410" s="14">
        <v>8.7899999999999991</v>
      </c>
      <c r="K410" s="25">
        <f t="shared" si="112"/>
        <v>1.8899999999999988</v>
      </c>
      <c r="L410" s="14">
        <v>10.755000000000001</v>
      </c>
      <c r="M410" s="34">
        <f t="shared" si="113"/>
        <v>1.9650000000000016</v>
      </c>
      <c r="N410" s="14">
        <v>12.645</v>
      </c>
      <c r="O410" s="34">
        <f t="shared" si="114"/>
        <v>1.8899999999999988</v>
      </c>
      <c r="P410" s="14">
        <v>14.535</v>
      </c>
      <c r="Q410" s="25">
        <f t="shared" si="115"/>
        <v>1.8900000000000006</v>
      </c>
      <c r="R410" s="14">
        <v>16.425000000000001</v>
      </c>
      <c r="S410" s="34">
        <f t="shared" si="116"/>
        <v>1.8900000000000006</v>
      </c>
      <c r="T410" s="14"/>
      <c r="U410" s="14"/>
      <c r="V410" s="14"/>
      <c r="W410" s="14"/>
      <c r="X410" s="14"/>
      <c r="Y410" s="25">
        <f t="shared" si="117"/>
        <v>16.425000000000001</v>
      </c>
      <c r="Z410" s="26">
        <f t="shared" si="118"/>
        <v>54.75</v>
      </c>
      <c r="AA410" s="26">
        <f t="shared" si="119"/>
        <v>54.75</v>
      </c>
      <c r="AB410"/>
    </row>
    <row r="411" spans="1:29">
      <c r="B411" s="11" t="s">
        <v>326</v>
      </c>
      <c r="C411" s="31">
        <v>776</v>
      </c>
      <c r="D411" s="31">
        <v>797.69</v>
      </c>
      <c r="E411" s="14">
        <v>139.03399999999999</v>
      </c>
      <c r="F411" s="14">
        <v>202.31</v>
      </c>
      <c r="G411" s="14">
        <f t="shared" si="120"/>
        <v>63.27600000000001</v>
      </c>
      <c r="H411" s="14">
        <v>256.52999999999997</v>
      </c>
      <c r="I411" s="14">
        <f t="shared" si="121"/>
        <v>54.21999999999997</v>
      </c>
      <c r="J411" s="14">
        <v>320.59199999999998</v>
      </c>
      <c r="K411" s="25">
        <f t="shared" si="112"/>
        <v>64.062000000000012</v>
      </c>
      <c r="L411" s="14">
        <v>398.63299999999998</v>
      </c>
      <c r="M411" s="34">
        <f t="shared" si="113"/>
        <v>78.040999999999997</v>
      </c>
      <c r="N411" s="14">
        <v>463.96499999999997</v>
      </c>
      <c r="O411" s="34">
        <f t="shared" si="114"/>
        <v>65.331999999999994</v>
      </c>
      <c r="P411" s="14">
        <v>527.93399999999997</v>
      </c>
      <c r="Q411" s="25">
        <f t="shared" si="115"/>
        <v>63.968999999999994</v>
      </c>
      <c r="R411" s="14">
        <v>605.13599999999997</v>
      </c>
      <c r="S411" s="34">
        <f t="shared" si="116"/>
        <v>77.201999999999998</v>
      </c>
      <c r="T411" s="14"/>
      <c r="U411" s="14"/>
      <c r="V411" s="14"/>
      <c r="W411" s="14"/>
      <c r="X411" s="14"/>
      <c r="Y411" s="25">
        <f t="shared" si="117"/>
        <v>605.13599999999997</v>
      </c>
      <c r="Z411" s="26">
        <f t="shared" si="118"/>
        <v>77.981443298969069</v>
      </c>
      <c r="AA411" s="26">
        <f t="shared" si="119"/>
        <v>75.861048778347467</v>
      </c>
      <c r="AB411"/>
    </row>
    <row r="412" spans="1:29">
      <c r="B412" s="11" t="s">
        <v>327</v>
      </c>
      <c r="C412" s="31">
        <v>332</v>
      </c>
      <c r="D412" s="31">
        <v>340.3</v>
      </c>
      <c r="E412" s="14">
        <v>66.53</v>
      </c>
      <c r="F412" s="14">
        <v>87.185000000000002</v>
      </c>
      <c r="G412" s="14">
        <f t="shared" si="120"/>
        <v>20.655000000000001</v>
      </c>
      <c r="H412" s="14">
        <v>111.806</v>
      </c>
      <c r="I412" s="14">
        <f t="shared" si="121"/>
        <v>24.620999999999995</v>
      </c>
      <c r="J412" s="14">
        <v>139.80099999999999</v>
      </c>
      <c r="K412" s="25">
        <f t="shared" si="112"/>
        <v>27.99499999999999</v>
      </c>
      <c r="L412" s="14">
        <v>173.721</v>
      </c>
      <c r="M412" s="34">
        <f t="shared" si="113"/>
        <v>33.920000000000016</v>
      </c>
      <c r="N412" s="14">
        <v>202.226</v>
      </c>
      <c r="O412" s="34">
        <f t="shared" si="114"/>
        <v>28.504999999999995</v>
      </c>
      <c r="P412" s="14">
        <v>230.15700000000001</v>
      </c>
      <c r="Q412" s="25">
        <f t="shared" si="115"/>
        <v>27.931000000000012</v>
      </c>
      <c r="R412" s="14">
        <v>263.71899999999999</v>
      </c>
      <c r="S412" s="34">
        <f t="shared" si="116"/>
        <v>33.561999999999983</v>
      </c>
      <c r="T412" s="14"/>
      <c r="U412" s="14"/>
      <c r="V412" s="14"/>
      <c r="W412" s="14"/>
      <c r="X412" s="14"/>
      <c r="Y412" s="25">
        <f t="shared" si="117"/>
        <v>263.71899999999999</v>
      </c>
      <c r="Z412" s="26">
        <f t="shared" si="118"/>
        <v>79.433433734939769</v>
      </c>
      <c r="AA412" s="26">
        <f t="shared" si="119"/>
        <v>77.496032912136343</v>
      </c>
      <c r="AB412"/>
    </row>
    <row r="413" spans="1:29">
      <c r="B413" s="11" t="s">
        <v>328</v>
      </c>
      <c r="C413" s="31">
        <v>10</v>
      </c>
      <c r="D413" s="31">
        <v>10</v>
      </c>
      <c r="E413" s="14">
        <v>2.2029999999999998</v>
      </c>
      <c r="F413" s="14">
        <v>4.359</v>
      </c>
      <c r="G413" s="14">
        <f t="shared" si="120"/>
        <v>2.1560000000000001</v>
      </c>
      <c r="H413" s="14">
        <v>4.359</v>
      </c>
      <c r="I413" s="14">
        <f t="shared" si="121"/>
        <v>0</v>
      </c>
      <c r="J413" s="14">
        <v>4.359</v>
      </c>
      <c r="K413" s="25">
        <f t="shared" si="112"/>
        <v>0</v>
      </c>
      <c r="L413" s="14">
        <v>6.7</v>
      </c>
      <c r="M413" s="34">
        <f t="shared" si="113"/>
        <v>2.3410000000000002</v>
      </c>
      <c r="N413" s="14">
        <v>6.7</v>
      </c>
      <c r="O413" s="34">
        <f t="shared" si="114"/>
        <v>0</v>
      </c>
      <c r="P413" s="14">
        <v>6.7</v>
      </c>
      <c r="Q413" s="25">
        <f t="shared" si="115"/>
        <v>0</v>
      </c>
      <c r="R413" s="14">
        <v>9.4109999999999996</v>
      </c>
      <c r="S413" s="34">
        <f t="shared" si="116"/>
        <v>2.7109999999999994</v>
      </c>
      <c r="T413" s="14"/>
      <c r="U413" s="14"/>
      <c r="V413" s="14"/>
      <c r="W413" s="14"/>
      <c r="X413" s="14"/>
      <c r="Y413" s="25">
        <f t="shared" si="117"/>
        <v>9.4109999999999996</v>
      </c>
      <c r="Z413" s="26">
        <f t="shared" si="118"/>
        <v>94.11</v>
      </c>
      <c r="AA413" s="26">
        <f t="shared" si="119"/>
        <v>94.11</v>
      </c>
      <c r="AB413"/>
    </row>
    <row r="414" spans="1:29" s="72" customFormat="1">
      <c r="A414" s="81"/>
      <c r="B414" s="27" t="s">
        <v>467</v>
      </c>
      <c r="C414" s="230">
        <v>2</v>
      </c>
      <c r="D414" s="230">
        <v>2</v>
      </c>
      <c r="E414" s="71"/>
      <c r="F414" s="71"/>
      <c r="G414" s="14"/>
      <c r="H414" s="71"/>
      <c r="I414" s="14">
        <f t="shared" si="121"/>
        <v>0</v>
      </c>
      <c r="J414" s="71">
        <v>0.88800000000000001</v>
      </c>
      <c r="K414" s="25">
        <f t="shared" si="112"/>
        <v>0.88800000000000001</v>
      </c>
      <c r="L414" s="71">
        <v>1.516</v>
      </c>
      <c r="M414" s="34">
        <f t="shared" si="113"/>
        <v>0.628</v>
      </c>
      <c r="N414" s="71">
        <v>1.516</v>
      </c>
      <c r="O414" s="34">
        <f t="shared" si="114"/>
        <v>0</v>
      </c>
      <c r="P414" s="71">
        <v>1.6830000000000001</v>
      </c>
      <c r="Q414" s="25">
        <f t="shared" si="115"/>
        <v>0.16700000000000004</v>
      </c>
      <c r="R414" s="71">
        <v>1.6830000000000001</v>
      </c>
      <c r="S414" s="34">
        <f t="shared" si="116"/>
        <v>0</v>
      </c>
      <c r="T414" s="71"/>
      <c r="U414" s="71"/>
      <c r="V414" s="71"/>
      <c r="W414" s="71"/>
      <c r="X414" s="71"/>
      <c r="Y414" s="25">
        <f t="shared" si="117"/>
        <v>1.6830000000000001</v>
      </c>
      <c r="Z414" s="26">
        <f t="shared" si="118"/>
        <v>84.15</v>
      </c>
      <c r="AA414" s="26">
        <f t="shared" si="119"/>
        <v>84.15</v>
      </c>
      <c r="AB414"/>
      <c r="AC414" s="500"/>
    </row>
    <row r="415" spans="1:29" s="72" customFormat="1">
      <c r="A415" s="81"/>
      <c r="B415" s="28" t="s">
        <v>421</v>
      </c>
      <c r="C415" s="230">
        <v>0</v>
      </c>
      <c r="D415" s="230">
        <v>1</v>
      </c>
      <c r="E415" s="71"/>
      <c r="F415" s="71"/>
      <c r="G415" s="14"/>
      <c r="H415" s="71"/>
      <c r="I415" s="14"/>
      <c r="J415" s="71"/>
      <c r="K415" s="25"/>
      <c r="L415" s="71"/>
      <c r="M415" s="34"/>
      <c r="N415" s="71"/>
      <c r="O415" s="34"/>
      <c r="P415" s="71">
        <v>0.90700000000000003</v>
      </c>
      <c r="Q415" s="25">
        <f t="shared" si="115"/>
        <v>0.90700000000000003</v>
      </c>
      <c r="R415" s="71">
        <v>0.90700000000000003</v>
      </c>
      <c r="S415" s="34">
        <f t="shared" si="116"/>
        <v>0</v>
      </c>
      <c r="T415" s="71"/>
      <c r="U415" s="71"/>
      <c r="V415" s="71"/>
      <c r="W415" s="71"/>
      <c r="X415" s="71"/>
      <c r="Y415" s="25">
        <f>E415+G415+I415+K415+M415+O415+Q415+S415+U415+W415</f>
        <v>0.90700000000000003</v>
      </c>
      <c r="Z415" s="26" t="e">
        <f>(Y415/C415)*100</f>
        <v>#DIV/0!</v>
      </c>
      <c r="AA415" s="26">
        <f>(Y415/D415)*100</f>
        <v>90.7</v>
      </c>
      <c r="AB415"/>
      <c r="AC415" s="500"/>
    </row>
    <row r="416" spans="1:29">
      <c r="B416" s="11" t="s">
        <v>329</v>
      </c>
      <c r="C416" s="31">
        <v>10</v>
      </c>
      <c r="D416" s="31">
        <v>15</v>
      </c>
      <c r="E416" s="34"/>
      <c r="F416" s="34">
        <v>1.6459999999999999</v>
      </c>
      <c r="G416" s="14">
        <f t="shared" si="120"/>
        <v>1.6459999999999999</v>
      </c>
      <c r="H416" s="34">
        <v>9.9550000000000001</v>
      </c>
      <c r="I416" s="14">
        <f t="shared" si="121"/>
        <v>8.3090000000000011</v>
      </c>
      <c r="J416" s="34">
        <v>11.061999999999999</v>
      </c>
      <c r="K416" s="25">
        <f t="shared" si="112"/>
        <v>1.1069999999999993</v>
      </c>
      <c r="L416" s="34">
        <v>11.772</v>
      </c>
      <c r="M416" s="34">
        <f t="shared" si="113"/>
        <v>0.71000000000000085</v>
      </c>
      <c r="N416" s="34">
        <v>12.74</v>
      </c>
      <c r="O416" s="34">
        <f t="shared" si="114"/>
        <v>0.96799999999999997</v>
      </c>
      <c r="P416" s="34">
        <v>14.622999999999999</v>
      </c>
      <c r="Q416" s="25">
        <f t="shared" si="115"/>
        <v>1.8829999999999991</v>
      </c>
      <c r="R416" s="34">
        <v>14.622999999999999</v>
      </c>
      <c r="S416" s="34">
        <f t="shared" si="116"/>
        <v>0</v>
      </c>
      <c r="T416" s="34"/>
      <c r="U416" s="34"/>
      <c r="V416" s="34"/>
      <c r="W416" s="34"/>
      <c r="X416" s="34"/>
      <c r="Y416" s="25">
        <f t="shared" si="117"/>
        <v>14.623000000000001</v>
      </c>
      <c r="Z416" s="26">
        <f t="shared" si="118"/>
        <v>146.23000000000002</v>
      </c>
      <c r="AA416" s="26">
        <f t="shared" si="119"/>
        <v>97.486666666666679</v>
      </c>
      <c r="AB416"/>
    </row>
    <row r="417" spans="1:29">
      <c r="B417" s="11" t="s">
        <v>330</v>
      </c>
      <c r="C417" s="31">
        <v>100</v>
      </c>
      <c r="D417" s="31">
        <v>95</v>
      </c>
      <c r="E417" s="14"/>
      <c r="F417" s="14">
        <v>5.3876200000000001</v>
      </c>
      <c r="G417" s="14">
        <f t="shared" si="120"/>
        <v>5.3876200000000001</v>
      </c>
      <c r="H417" s="14">
        <v>22.187619999999999</v>
      </c>
      <c r="I417" s="14">
        <f t="shared" si="121"/>
        <v>16.799999999999997</v>
      </c>
      <c r="J417" s="14">
        <v>34.565919999999998</v>
      </c>
      <c r="K417" s="25">
        <f t="shared" si="112"/>
        <v>12.378299999999999</v>
      </c>
      <c r="L417" s="14">
        <v>36.253920000000001</v>
      </c>
      <c r="M417" s="34">
        <f t="shared" si="113"/>
        <v>1.6880000000000024</v>
      </c>
      <c r="N417" s="14">
        <v>36.253920000000001</v>
      </c>
      <c r="O417" s="34">
        <f t="shared" si="114"/>
        <v>0</v>
      </c>
      <c r="P417" s="14">
        <v>67.753919999999994</v>
      </c>
      <c r="Q417" s="25">
        <f t="shared" si="115"/>
        <v>31.499999999999993</v>
      </c>
      <c r="R417" s="14">
        <v>83.743920000000003</v>
      </c>
      <c r="S417" s="34">
        <f t="shared" si="116"/>
        <v>15.990000000000009</v>
      </c>
      <c r="T417" s="14"/>
      <c r="U417" s="14"/>
      <c r="V417" s="14"/>
      <c r="W417" s="14"/>
      <c r="X417" s="14"/>
      <c r="Y417" s="25">
        <f t="shared" si="117"/>
        <v>83.743920000000003</v>
      </c>
      <c r="Z417" s="26">
        <f t="shared" si="118"/>
        <v>83.743920000000003</v>
      </c>
      <c r="AA417" s="26">
        <f t="shared" si="119"/>
        <v>88.15149473684211</v>
      </c>
      <c r="AB417"/>
    </row>
    <row r="418" spans="1:29">
      <c r="B418" s="11" t="s">
        <v>331</v>
      </c>
      <c r="C418" s="31">
        <v>400</v>
      </c>
      <c r="D418" s="13">
        <v>425</v>
      </c>
      <c r="E418" s="14">
        <v>55.134689999999999</v>
      </c>
      <c r="F418" s="14">
        <v>118.47413</v>
      </c>
      <c r="G418" s="14">
        <f t="shared" si="120"/>
        <v>63.339440000000003</v>
      </c>
      <c r="H418" s="14">
        <v>172.43029999999999</v>
      </c>
      <c r="I418" s="14">
        <f t="shared" si="121"/>
        <v>53.956169999999986</v>
      </c>
      <c r="J418" s="14">
        <v>271.87828000000002</v>
      </c>
      <c r="K418" s="25">
        <f t="shared" si="112"/>
        <v>99.44798000000003</v>
      </c>
      <c r="L418" s="14">
        <v>326.99641000000003</v>
      </c>
      <c r="M418" s="34">
        <f t="shared" si="113"/>
        <v>55.118130000000008</v>
      </c>
      <c r="N418" s="14">
        <v>341.25009</v>
      </c>
      <c r="O418" s="34">
        <f t="shared" si="114"/>
        <v>14.253679999999974</v>
      </c>
      <c r="P418" s="14">
        <v>355.00331999999997</v>
      </c>
      <c r="Q418" s="25">
        <f t="shared" si="115"/>
        <v>13.753229999999974</v>
      </c>
      <c r="R418" s="14">
        <v>420.82431000000003</v>
      </c>
      <c r="S418" s="34">
        <f t="shared" si="116"/>
        <v>65.820990000000052</v>
      </c>
      <c r="T418" s="14"/>
      <c r="U418" s="14"/>
      <c r="V418" s="14"/>
      <c r="W418" s="14"/>
      <c r="X418" s="14"/>
      <c r="Y418" s="25">
        <f t="shared" si="117"/>
        <v>420.82431000000003</v>
      </c>
      <c r="Z418" s="26">
        <f t="shared" si="118"/>
        <v>105.20607750000002</v>
      </c>
      <c r="AA418" s="26">
        <f t="shared" si="119"/>
        <v>99.017484705882367</v>
      </c>
      <c r="AB418"/>
    </row>
    <row r="419" spans="1:29">
      <c r="A419" s="421" t="s">
        <v>468</v>
      </c>
      <c r="B419" s="422" t="s">
        <v>469</v>
      </c>
      <c r="C419" s="423">
        <v>100</v>
      </c>
      <c r="D419" s="424">
        <v>100</v>
      </c>
      <c r="E419" s="427"/>
      <c r="F419" s="425">
        <v>9.234</v>
      </c>
      <c r="G419" s="425">
        <f t="shared" si="120"/>
        <v>9.234</v>
      </c>
      <c r="H419" s="425">
        <v>36.380000000000003</v>
      </c>
      <c r="I419" s="14">
        <f t="shared" si="121"/>
        <v>27.146000000000001</v>
      </c>
      <c r="J419" s="425">
        <v>46.366</v>
      </c>
      <c r="K419" s="425">
        <f t="shared" si="112"/>
        <v>9.9859999999999971</v>
      </c>
      <c r="L419" s="425">
        <v>46.366</v>
      </c>
      <c r="M419" s="558">
        <f t="shared" si="113"/>
        <v>0</v>
      </c>
      <c r="N419" s="425">
        <v>46.366</v>
      </c>
      <c r="O419" s="425">
        <f t="shared" si="114"/>
        <v>0</v>
      </c>
      <c r="P419" s="425">
        <v>95.061999999999998</v>
      </c>
      <c r="Q419" s="427">
        <f t="shared" si="115"/>
        <v>48.695999999999998</v>
      </c>
      <c r="R419" s="425">
        <v>95.061999999999998</v>
      </c>
      <c r="S419" s="425">
        <f>R419-P419</f>
        <v>0</v>
      </c>
      <c r="T419" s="425"/>
      <c r="U419" s="425"/>
      <c r="V419" s="425"/>
      <c r="W419" s="425"/>
      <c r="X419" s="425"/>
      <c r="Y419" s="425">
        <f t="shared" si="117"/>
        <v>95.061999999999998</v>
      </c>
      <c r="Z419" s="477">
        <f t="shared" si="118"/>
        <v>95.061999999999998</v>
      </c>
      <c r="AA419" s="477">
        <f t="shared" si="119"/>
        <v>95.061999999999998</v>
      </c>
      <c r="AB419"/>
    </row>
    <row r="420" spans="1:29">
      <c r="B420" s="11" t="s">
        <v>352</v>
      </c>
      <c r="C420" s="31">
        <v>20</v>
      </c>
      <c r="D420" s="31">
        <v>20</v>
      </c>
      <c r="E420" s="14">
        <v>0.83199999999999996</v>
      </c>
      <c r="F420" s="14">
        <v>4.5030000000000001</v>
      </c>
      <c r="G420" s="14">
        <f t="shared" si="120"/>
        <v>3.6710000000000003</v>
      </c>
      <c r="H420" s="14">
        <v>4.5030000000000001</v>
      </c>
      <c r="I420" s="14">
        <f t="shared" si="121"/>
        <v>0</v>
      </c>
      <c r="J420" s="14">
        <v>4.5030000000000001</v>
      </c>
      <c r="K420" s="25">
        <f t="shared" si="112"/>
        <v>0</v>
      </c>
      <c r="L420" s="14">
        <v>7.8179999999999996</v>
      </c>
      <c r="M420" s="34">
        <f t="shared" si="113"/>
        <v>3.3149999999999995</v>
      </c>
      <c r="N420" s="14">
        <v>7.8179999999999996</v>
      </c>
      <c r="O420" s="34">
        <f t="shared" si="114"/>
        <v>0</v>
      </c>
      <c r="P420" s="14">
        <v>7.8179999999999996</v>
      </c>
      <c r="Q420" s="25">
        <f t="shared" si="115"/>
        <v>0</v>
      </c>
      <c r="R420" s="14">
        <v>14.106999999999999</v>
      </c>
      <c r="S420" s="34">
        <f t="shared" ref="S420:S427" si="122">R420-P420</f>
        <v>6.2889999999999997</v>
      </c>
      <c r="T420" s="14"/>
      <c r="U420" s="14"/>
      <c r="V420" s="14"/>
      <c r="W420" s="14"/>
      <c r="X420" s="14"/>
      <c r="Y420" s="25">
        <f t="shared" ref="Y420:Y432" si="123">E420+G420+I420+K420+M420+O420+Q420+S420+U420+W420</f>
        <v>14.106999999999999</v>
      </c>
      <c r="Z420" s="26">
        <f t="shared" ref="Z420:Z432" si="124">(Y420/C420)*100</f>
        <v>70.534999999999997</v>
      </c>
      <c r="AA420" s="26">
        <f t="shared" ref="AA420:AA432" si="125">(Y420/D420)*100</f>
        <v>70.534999999999997</v>
      </c>
      <c r="AB420"/>
    </row>
    <row r="421" spans="1:29">
      <c r="B421" s="11" t="s">
        <v>345</v>
      </c>
      <c r="C421" s="31">
        <v>90</v>
      </c>
      <c r="D421" s="31">
        <v>89</v>
      </c>
      <c r="E421" s="14">
        <v>10.057259999999999</v>
      </c>
      <c r="F421" s="14">
        <v>13.43726</v>
      </c>
      <c r="G421" s="14">
        <f t="shared" si="120"/>
        <v>3.3800000000000008</v>
      </c>
      <c r="H421" s="14">
        <v>16.817260000000001</v>
      </c>
      <c r="I421" s="14">
        <f t="shared" si="121"/>
        <v>3.3800000000000008</v>
      </c>
      <c r="J421" s="14">
        <v>20.19726</v>
      </c>
      <c r="K421" s="25">
        <f t="shared" si="112"/>
        <v>3.379999999999999</v>
      </c>
      <c r="L421" s="14">
        <v>23.577259999999999</v>
      </c>
      <c r="M421" s="34">
        <f t="shared" si="113"/>
        <v>3.379999999999999</v>
      </c>
      <c r="N421" s="14">
        <v>26.957260000000002</v>
      </c>
      <c r="O421" s="34">
        <f t="shared" si="114"/>
        <v>3.3800000000000026</v>
      </c>
      <c r="P421" s="14">
        <v>30.337260000000001</v>
      </c>
      <c r="Q421" s="25">
        <f t="shared" si="115"/>
        <v>3.379999999999999</v>
      </c>
      <c r="R421" s="14">
        <v>33.717260000000003</v>
      </c>
      <c r="S421" s="34">
        <f t="shared" si="122"/>
        <v>3.3800000000000026</v>
      </c>
      <c r="T421" s="14"/>
      <c r="U421" s="14"/>
      <c r="V421" s="14"/>
      <c r="W421" s="14"/>
      <c r="X421" s="14"/>
      <c r="Y421" s="25">
        <f t="shared" si="123"/>
        <v>33.717260000000003</v>
      </c>
      <c r="Z421" s="26">
        <f t="shared" si="124"/>
        <v>37.463622222222227</v>
      </c>
      <c r="AA421" s="26">
        <f t="shared" si="125"/>
        <v>37.884561797752816</v>
      </c>
      <c r="AB421"/>
    </row>
    <row r="422" spans="1:29">
      <c r="B422" s="11" t="s">
        <v>332</v>
      </c>
      <c r="C422" s="31">
        <v>200</v>
      </c>
      <c r="D422" s="31">
        <v>230</v>
      </c>
      <c r="E422" s="14">
        <v>32.948219999999999</v>
      </c>
      <c r="F422" s="14">
        <v>38.515880000000003</v>
      </c>
      <c r="G422" s="14">
        <f t="shared" si="120"/>
        <v>5.5676600000000036</v>
      </c>
      <c r="H422" s="14">
        <v>57.590310000000002</v>
      </c>
      <c r="I422" s="14">
        <f t="shared" si="121"/>
        <v>19.07443</v>
      </c>
      <c r="J422" s="14">
        <v>87.560519999999997</v>
      </c>
      <c r="K422" s="25">
        <f t="shared" si="112"/>
        <v>29.970209999999994</v>
      </c>
      <c r="L422" s="14">
        <v>127.03485999999999</v>
      </c>
      <c r="M422" s="34">
        <f t="shared" si="113"/>
        <v>39.474339999999998</v>
      </c>
      <c r="N422" s="14">
        <v>148.59188</v>
      </c>
      <c r="O422" s="34">
        <f t="shared" si="114"/>
        <v>21.557020000000009</v>
      </c>
      <c r="P422" s="14">
        <v>175.22976</v>
      </c>
      <c r="Q422" s="25">
        <f t="shared" si="115"/>
        <v>26.637879999999996</v>
      </c>
      <c r="R422" s="14">
        <v>200.54095000000001</v>
      </c>
      <c r="S422" s="34">
        <f t="shared" si="122"/>
        <v>25.311190000000011</v>
      </c>
      <c r="T422" s="14"/>
      <c r="U422" s="14"/>
      <c r="V422" s="14"/>
      <c r="W422" s="14"/>
      <c r="X422" s="14"/>
      <c r="Y422" s="25">
        <f t="shared" si="123"/>
        <v>200.54095000000001</v>
      </c>
      <c r="Z422" s="26">
        <f t="shared" si="124"/>
        <v>100.27047500000002</v>
      </c>
      <c r="AA422" s="26">
        <f t="shared" si="125"/>
        <v>87.191717391304351</v>
      </c>
      <c r="AB422"/>
    </row>
    <row r="423" spans="1:29">
      <c r="B423" s="11" t="s">
        <v>333</v>
      </c>
      <c r="C423" s="31">
        <v>30</v>
      </c>
      <c r="D423" s="31">
        <v>26</v>
      </c>
      <c r="E423" s="14">
        <v>2.2441200000000001</v>
      </c>
      <c r="F423" s="14">
        <v>2.7371300000000001</v>
      </c>
      <c r="G423" s="14">
        <f t="shared" si="120"/>
        <v>0.49300999999999995</v>
      </c>
      <c r="H423" s="14">
        <v>3.4228399999999999</v>
      </c>
      <c r="I423" s="14">
        <f t="shared" si="121"/>
        <v>0.68570999999999982</v>
      </c>
      <c r="J423" s="14">
        <v>4.1838699999999998</v>
      </c>
      <c r="K423" s="25">
        <f t="shared" si="112"/>
        <v>0.76102999999999987</v>
      </c>
      <c r="L423" s="14">
        <v>5.3720299999999996</v>
      </c>
      <c r="M423" s="34">
        <f t="shared" si="113"/>
        <v>1.1881599999999999</v>
      </c>
      <c r="N423" s="14">
        <v>6.5364699999999996</v>
      </c>
      <c r="O423" s="34">
        <f t="shared" si="114"/>
        <v>1.1644399999999999</v>
      </c>
      <c r="P423" s="14">
        <v>7.3403900000000002</v>
      </c>
      <c r="Q423" s="25">
        <f t="shared" si="115"/>
        <v>0.80392000000000063</v>
      </c>
      <c r="R423" s="14">
        <v>8.6568100000000001</v>
      </c>
      <c r="S423" s="34">
        <f t="shared" si="122"/>
        <v>1.3164199999999999</v>
      </c>
      <c r="T423" s="14"/>
      <c r="U423" s="14"/>
      <c r="V423" s="14"/>
      <c r="W423" s="14"/>
      <c r="X423" s="14"/>
      <c r="Y423" s="25">
        <f t="shared" si="123"/>
        <v>8.6568100000000001</v>
      </c>
      <c r="Z423" s="26">
        <f t="shared" si="124"/>
        <v>28.856033333333336</v>
      </c>
      <c r="AA423" s="26">
        <f t="shared" si="125"/>
        <v>33.295423076923072</v>
      </c>
      <c r="AB423"/>
    </row>
    <row r="424" spans="1:29">
      <c r="B424" s="11" t="s">
        <v>334</v>
      </c>
      <c r="C424" s="31">
        <v>20</v>
      </c>
      <c r="D424" s="13">
        <v>25</v>
      </c>
      <c r="E424" s="14">
        <v>23.015999999999998</v>
      </c>
      <c r="F424" s="14">
        <v>23.015999999999998</v>
      </c>
      <c r="G424" s="14">
        <f t="shared" si="120"/>
        <v>0</v>
      </c>
      <c r="H424" s="14">
        <v>23.015999999999998</v>
      </c>
      <c r="I424" s="14">
        <f t="shared" si="121"/>
        <v>0</v>
      </c>
      <c r="J424" s="14">
        <v>23.015999999999998</v>
      </c>
      <c r="K424" s="25">
        <f t="shared" si="112"/>
        <v>0</v>
      </c>
      <c r="L424" s="14">
        <v>23.015999999999998</v>
      </c>
      <c r="M424" s="34">
        <f t="shared" si="113"/>
        <v>0</v>
      </c>
      <c r="N424" s="14">
        <v>23.015999999999998</v>
      </c>
      <c r="O424" s="34">
        <f t="shared" si="114"/>
        <v>0</v>
      </c>
      <c r="P424" s="14">
        <v>23.015999999999998</v>
      </c>
      <c r="Q424" s="25">
        <f t="shared" si="115"/>
        <v>0</v>
      </c>
      <c r="R424" s="14">
        <v>23.015999999999998</v>
      </c>
      <c r="S424" s="34">
        <f t="shared" si="122"/>
        <v>0</v>
      </c>
      <c r="T424" s="14"/>
      <c r="U424" s="14"/>
      <c r="V424" s="14"/>
      <c r="W424" s="14"/>
      <c r="X424" s="14"/>
      <c r="Y424" s="25">
        <f t="shared" si="123"/>
        <v>23.015999999999998</v>
      </c>
      <c r="Z424" s="26">
        <f t="shared" si="124"/>
        <v>115.07999999999998</v>
      </c>
      <c r="AA424" s="26">
        <f t="shared" si="125"/>
        <v>92.063999999999993</v>
      </c>
      <c r="AB424"/>
    </row>
    <row r="425" spans="1:29" ht="12.75" hidden="1" customHeight="1">
      <c r="B425" s="17"/>
      <c r="C425" s="31"/>
      <c r="D425" s="13"/>
      <c r="E425" s="14"/>
      <c r="F425" s="14"/>
      <c r="G425" s="14">
        <f t="shared" si="120"/>
        <v>0</v>
      </c>
      <c r="H425" s="14"/>
      <c r="I425" s="14">
        <f t="shared" si="121"/>
        <v>0</v>
      </c>
      <c r="J425" s="14"/>
      <c r="K425" s="25">
        <f t="shared" si="112"/>
        <v>0</v>
      </c>
      <c r="L425" s="14"/>
      <c r="M425" s="34">
        <f t="shared" si="113"/>
        <v>0</v>
      </c>
      <c r="N425" s="14"/>
      <c r="O425" s="34">
        <f t="shared" si="114"/>
        <v>0</v>
      </c>
      <c r="P425" s="14"/>
      <c r="Q425" s="25">
        <f t="shared" si="115"/>
        <v>0</v>
      </c>
      <c r="R425" s="14"/>
      <c r="S425" s="34">
        <f t="shared" si="122"/>
        <v>0</v>
      </c>
      <c r="T425" s="14"/>
      <c r="U425" s="14"/>
      <c r="V425" s="14"/>
      <c r="W425" s="14"/>
      <c r="X425" s="14"/>
      <c r="Y425" s="25">
        <f t="shared" si="123"/>
        <v>0</v>
      </c>
      <c r="Z425" s="26" t="e">
        <f t="shared" si="124"/>
        <v>#DIV/0!</v>
      </c>
      <c r="AA425" s="26" t="e">
        <f t="shared" si="125"/>
        <v>#DIV/0!</v>
      </c>
      <c r="AB425"/>
    </row>
    <row r="426" spans="1:29">
      <c r="B426" s="11" t="s">
        <v>319</v>
      </c>
      <c r="C426" s="31">
        <v>10</v>
      </c>
      <c r="D426" s="23">
        <v>20</v>
      </c>
      <c r="E426" s="34">
        <v>1</v>
      </c>
      <c r="F426" s="34">
        <v>15.3688</v>
      </c>
      <c r="G426" s="14">
        <f t="shared" si="120"/>
        <v>14.3688</v>
      </c>
      <c r="H426" s="34">
        <v>15.3688</v>
      </c>
      <c r="I426" s="14">
        <f t="shared" si="121"/>
        <v>0</v>
      </c>
      <c r="J426" s="34">
        <v>15.3688</v>
      </c>
      <c r="K426" s="25">
        <f t="shared" si="112"/>
        <v>0</v>
      </c>
      <c r="L426" s="34">
        <v>15.3688</v>
      </c>
      <c r="M426" s="34">
        <f t="shared" si="113"/>
        <v>0</v>
      </c>
      <c r="N426" s="34">
        <v>16.8688</v>
      </c>
      <c r="O426" s="34">
        <f t="shared" si="114"/>
        <v>1.5</v>
      </c>
      <c r="P426" s="34">
        <v>17.3188</v>
      </c>
      <c r="Q426" s="25">
        <f t="shared" si="115"/>
        <v>0.44999999999999929</v>
      </c>
      <c r="R426" s="34">
        <v>17.3188</v>
      </c>
      <c r="S426" s="34">
        <f t="shared" si="122"/>
        <v>0</v>
      </c>
      <c r="T426" s="34"/>
      <c r="U426" s="34"/>
      <c r="V426" s="34"/>
      <c r="W426" s="34"/>
      <c r="X426" s="34"/>
      <c r="Y426" s="25">
        <f t="shared" si="123"/>
        <v>17.3188</v>
      </c>
      <c r="Z426" s="26">
        <f t="shared" si="124"/>
        <v>173.18799999999999</v>
      </c>
      <c r="AA426" s="26">
        <f t="shared" si="125"/>
        <v>86.593999999999994</v>
      </c>
      <c r="AB426"/>
      <c r="AC426" s="570"/>
    </row>
    <row r="427" spans="1:29" ht="25.5">
      <c r="B427" s="399" t="s">
        <v>470</v>
      </c>
      <c r="C427" s="24">
        <v>250</v>
      </c>
      <c r="D427" s="24">
        <v>324</v>
      </c>
      <c r="E427" s="24">
        <v>85.796289999999999</v>
      </c>
      <c r="F427" s="24">
        <v>96.819659999999999</v>
      </c>
      <c r="G427" s="25">
        <f t="shared" si="120"/>
        <v>11.02337</v>
      </c>
      <c r="H427" s="24">
        <f>138.63999+14.792</f>
        <v>153.43199000000001</v>
      </c>
      <c r="I427" s="24">
        <f t="shared" si="121"/>
        <v>56.612330000000014</v>
      </c>
      <c r="J427" s="24">
        <f>164.47683+17.714</f>
        <v>182.19083000000001</v>
      </c>
      <c r="K427" s="25">
        <f t="shared" si="112"/>
        <v>28.758839999999992</v>
      </c>
      <c r="L427" s="24">
        <f>236.82+17.714</f>
        <v>254.53399999999999</v>
      </c>
      <c r="M427" s="34">
        <f t="shared" si="113"/>
        <v>72.343169999999986</v>
      </c>
      <c r="N427" s="24">
        <f>255.92844+21.686</f>
        <v>277.61444</v>
      </c>
      <c r="O427" s="34">
        <f t="shared" si="114"/>
        <v>23.08044000000001</v>
      </c>
      <c r="P427" s="24">
        <f>264.72811+23.671</f>
        <v>288.39911000000001</v>
      </c>
      <c r="Q427" s="25">
        <f t="shared" si="115"/>
        <v>10.784670000000006</v>
      </c>
      <c r="R427" s="24">
        <f>274.59276+36.596</f>
        <v>311.18876</v>
      </c>
      <c r="S427" s="34">
        <f t="shared" si="122"/>
        <v>22.789649999999995</v>
      </c>
      <c r="T427" s="24"/>
      <c r="U427" s="24"/>
      <c r="V427" s="24"/>
      <c r="W427" s="24"/>
      <c r="X427" s="24"/>
      <c r="Y427" s="25">
        <f t="shared" si="123"/>
        <v>311.18876</v>
      </c>
      <c r="Z427" s="26">
        <f t="shared" si="124"/>
        <v>124.475504</v>
      </c>
      <c r="AA427" s="26">
        <f t="shared" si="125"/>
        <v>96.045913580246918</v>
      </c>
      <c r="AB427"/>
      <c r="AC427" s="551"/>
    </row>
    <row r="428" spans="1:29">
      <c r="A428" s="421" t="s">
        <v>468</v>
      </c>
      <c r="B428" s="426" t="s">
        <v>471</v>
      </c>
      <c r="C428" s="427">
        <v>150</v>
      </c>
      <c r="D428" s="427">
        <v>90</v>
      </c>
      <c r="E428" s="427">
        <v>10.3</v>
      </c>
      <c r="F428" s="427">
        <v>10.3</v>
      </c>
      <c r="G428" s="425"/>
      <c r="H428" s="427">
        <v>76.466999999999999</v>
      </c>
      <c r="I428" s="14">
        <f t="shared" si="121"/>
        <v>66.167000000000002</v>
      </c>
      <c r="J428" s="427">
        <v>76.466999999999999</v>
      </c>
      <c r="K428" s="425">
        <f t="shared" si="112"/>
        <v>0</v>
      </c>
      <c r="L428" s="427">
        <v>76.466999999999999</v>
      </c>
      <c r="M428" s="558">
        <f t="shared" si="113"/>
        <v>0</v>
      </c>
      <c r="N428" s="427">
        <v>76.466999999999999</v>
      </c>
      <c r="O428" s="425">
        <f t="shared" si="114"/>
        <v>0</v>
      </c>
      <c r="P428" s="427">
        <v>76.466999999999999</v>
      </c>
      <c r="Q428" s="427">
        <f t="shared" si="115"/>
        <v>0</v>
      </c>
      <c r="R428" s="427">
        <v>76.466999999999999</v>
      </c>
      <c r="S428" s="425">
        <f t="shared" ref="S428:S433" si="126">R428-P428</f>
        <v>0</v>
      </c>
      <c r="T428" s="427"/>
      <c r="U428" s="427"/>
      <c r="V428" s="427"/>
      <c r="W428" s="427"/>
      <c r="X428" s="427"/>
      <c r="Y428" s="425">
        <f t="shared" si="123"/>
        <v>76.466999999999999</v>
      </c>
      <c r="Z428" s="477">
        <f t="shared" si="124"/>
        <v>50.978000000000002</v>
      </c>
      <c r="AA428" s="477">
        <f t="shared" si="125"/>
        <v>84.963333333333338</v>
      </c>
      <c r="AB428"/>
    </row>
    <row r="429" spans="1:29" ht="28.5" customHeight="1">
      <c r="B429" s="399" t="s">
        <v>472</v>
      </c>
      <c r="C429" s="33">
        <v>300</v>
      </c>
      <c r="D429" s="33">
        <v>270</v>
      </c>
      <c r="E429" s="25">
        <v>5.7164999999999999</v>
      </c>
      <c r="F429" s="25">
        <v>10.818250000000001</v>
      </c>
      <c r="G429" s="25">
        <f t="shared" si="120"/>
        <v>5.1017500000000009</v>
      </c>
      <c r="H429" s="25">
        <v>20.142150000000001</v>
      </c>
      <c r="I429" s="25">
        <f t="shared" si="121"/>
        <v>9.3239000000000001</v>
      </c>
      <c r="J429" s="25">
        <v>71.852350000000001</v>
      </c>
      <c r="K429" s="25">
        <f t="shared" si="112"/>
        <v>51.7102</v>
      </c>
      <c r="L429" s="25">
        <v>90.167100000000005</v>
      </c>
      <c r="M429" s="34">
        <f t="shared" si="113"/>
        <v>18.314750000000004</v>
      </c>
      <c r="N429" s="25">
        <v>119.5051</v>
      </c>
      <c r="O429" s="34">
        <f t="shared" si="114"/>
        <v>29.337999999999994</v>
      </c>
      <c r="P429" s="25">
        <v>226.7276</v>
      </c>
      <c r="Q429" s="25">
        <f>P429-N429</f>
        <v>107.2225</v>
      </c>
      <c r="R429" s="25">
        <v>247.5292</v>
      </c>
      <c r="S429" s="34">
        <f t="shared" si="126"/>
        <v>20.801600000000008</v>
      </c>
      <c r="T429" s="25"/>
      <c r="U429" s="25"/>
      <c r="V429" s="25"/>
      <c r="W429" s="25"/>
      <c r="X429" s="25"/>
      <c r="Y429" s="25">
        <f t="shared" si="123"/>
        <v>247.5292</v>
      </c>
      <c r="Z429" s="26">
        <f t="shared" si="124"/>
        <v>82.50973333333333</v>
      </c>
      <c r="AA429" s="26">
        <f t="shared" si="125"/>
        <v>91.677481481481479</v>
      </c>
      <c r="AB429"/>
    </row>
    <row r="430" spans="1:29" ht="12.75" hidden="1" customHeight="1">
      <c r="B430" s="17"/>
      <c r="C430" s="31"/>
      <c r="D430" s="31"/>
      <c r="E430" s="14"/>
      <c r="F430" s="14"/>
      <c r="G430" s="14">
        <f t="shared" si="120"/>
        <v>0</v>
      </c>
      <c r="H430" s="14"/>
      <c r="I430" s="14">
        <f t="shared" si="121"/>
        <v>0</v>
      </c>
      <c r="J430" s="14"/>
      <c r="K430" s="25">
        <f t="shared" si="112"/>
        <v>0</v>
      </c>
      <c r="L430" s="14"/>
      <c r="M430" s="34">
        <f t="shared" si="113"/>
        <v>0</v>
      </c>
      <c r="N430" s="14"/>
      <c r="O430" s="34">
        <f t="shared" si="114"/>
        <v>0</v>
      </c>
      <c r="P430" s="14"/>
      <c r="Q430" s="25">
        <f>P430-N430</f>
        <v>0</v>
      </c>
      <c r="R430" s="14"/>
      <c r="S430" s="34">
        <f t="shared" si="126"/>
        <v>0</v>
      </c>
      <c r="T430" s="14"/>
      <c r="U430" s="14"/>
      <c r="V430" s="14"/>
      <c r="W430" s="14"/>
      <c r="X430" s="14"/>
      <c r="Y430" s="25">
        <f t="shared" si="123"/>
        <v>0</v>
      </c>
      <c r="Z430" s="26" t="e">
        <f t="shared" si="124"/>
        <v>#DIV/0!</v>
      </c>
      <c r="AA430" s="26" t="e">
        <f t="shared" si="125"/>
        <v>#DIV/0!</v>
      </c>
      <c r="AB430"/>
    </row>
    <row r="431" spans="1:29" ht="12.75" customHeight="1">
      <c r="B431" s="11" t="s">
        <v>416</v>
      </c>
      <c r="C431" s="31">
        <v>2</v>
      </c>
      <c r="D431" s="31">
        <v>2</v>
      </c>
      <c r="E431" s="14"/>
      <c r="F431" s="14"/>
      <c r="G431" s="14"/>
      <c r="H431" s="14"/>
      <c r="I431" s="14">
        <f t="shared" si="121"/>
        <v>0</v>
      </c>
      <c r="J431" s="14"/>
      <c r="K431" s="25">
        <f t="shared" si="112"/>
        <v>0</v>
      </c>
      <c r="L431" s="14"/>
      <c r="M431" s="34">
        <f t="shared" si="113"/>
        <v>0</v>
      </c>
      <c r="N431" s="14"/>
      <c r="O431" s="34">
        <f t="shared" si="114"/>
        <v>0</v>
      </c>
      <c r="P431" s="14">
        <v>0.66800000000000004</v>
      </c>
      <c r="Q431" s="25">
        <f>P431-N431</f>
        <v>0.66800000000000004</v>
      </c>
      <c r="R431" s="14">
        <v>0.66800000000000004</v>
      </c>
      <c r="S431" s="34">
        <f t="shared" si="126"/>
        <v>0</v>
      </c>
      <c r="T431" s="14"/>
      <c r="U431" s="14"/>
      <c r="V431" s="14"/>
      <c r="W431" s="14"/>
      <c r="X431" s="14"/>
      <c r="Y431" s="25">
        <f t="shared" si="123"/>
        <v>0.66800000000000004</v>
      </c>
      <c r="Z431" s="26">
        <f t="shared" si="124"/>
        <v>33.4</v>
      </c>
      <c r="AA431" s="26">
        <f t="shared" si="125"/>
        <v>33.4</v>
      </c>
      <c r="AB431"/>
    </row>
    <row r="432" spans="1:29" ht="12.75" customHeight="1">
      <c r="B432" s="11" t="s">
        <v>418</v>
      </c>
      <c r="C432" s="31">
        <v>11</v>
      </c>
      <c r="D432" s="31">
        <v>11</v>
      </c>
      <c r="E432" s="14"/>
      <c r="F432" s="14">
        <v>0.91500000000000004</v>
      </c>
      <c r="G432" s="14">
        <f t="shared" si="120"/>
        <v>0.91500000000000004</v>
      </c>
      <c r="H432" s="14">
        <v>1.292</v>
      </c>
      <c r="I432" s="14">
        <f t="shared" si="121"/>
        <v>0.377</v>
      </c>
      <c r="J432" s="14">
        <v>1.292</v>
      </c>
      <c r="K432" s="25">
        <f t="shared" si="112"/>
        <v>0</v>
      </c>
      <c r="L432" s="14">
        <v>1.292</v>
      </c>
      <c r="M432" s="34">
        <f t="shared" si="113"/>
        <v>0</v>
      </c>
      <c r="N432" s="14">
        <v>1.292</v>
      </c>
      <c r="O432" s="34">
        <f t="shared" si="114"/>
        <v>0</v>
      </c>
      <c r="P432" s="14">
        <v>3.9380000000000002</v>
      </c>
      <c r="Q432" s="25">
        <f>P432-N432</f>
        <v>2.6459999999999999</v>
      </c>
      <c r="R432" s="14">
        <v>5.5179999999999998</v>
      </c>
      <c r="S432" s="34">
        <f t="shared" si="126"/>
        <v>1.5799999999999996</v>
      </c>
      <c r="T432" s="14"/>
      <c r="U432" s="14"/>
      <c r="V432" s="14"/>
      <c r="W432" s="14"/>
      <c r="X432" s="14"/>
      <c r="Y432" s="25">
        <f t="shared" si="123"/>
        <v>5.5179999999999989</v>
      </c>
      <c r="Z432" s="26">
        <f t="shared" si="124"/>
        <v>50.163636363636357</v>
      </c>
      <c r="AA432" s="26">
        <f t="shared" si="125"/>
        <v>50.163636363636357</v>
      </c>
      <c r="AB432"/>
    </row>
    <row r="433" spans="1:32">
      <c r="B433" s="11" t="s">
        <v>338</v>
      </c>
      <c r="C433" s="31">
        <v>70</v>
      </c>
      <c r="D433" s="31">
        <v>70</v>
      </c>
      <c r="E433" s="14">
        <v>10.6</v>
      </c>
      <c r="F433" s="14">
        <v>13.625</v>
      </c>
      <c r="G433" s="14">
        <f t="shared" si="120"/>
        <v>3.0250000000000004</v>
      </c>
      <c r="H433" s="14">
        <v>20.3</v>
      </c>
      <c r="I433" s="14">
        <f t="shared" si="121"/>
        <v>6.6750000000000007</v>
      </c>
      <c r="J433" s="14">
        <v>26.4</v>
      </c>
      <c r="K433" s="25">
        <f t="shared" si="112"/>
        <v>6.0999999999999979</v>
      </c>
      <c r="L433" s="14">
        <v>31.074999999999999</v>
      </c>
      <c r="M433" s="34">
        <f t="shared" si="113"/>
        <v>4.6750000000000007</v>
      </c>
      <c r="N433" s="14">
        <v>36.1</v>
      </c>
      <c r="O433" s="34">
        <f t="shared" si="114"/>
        <v>5.0250000000000021</v>
      </c>
      <c r="P433" s="14">
        <v>42.05</v>
      </c>
      <c r="Q433" s="25">
        <f>P433-N433</f>
        <v>5.9499999999999957</v>
      </c>
      <c r="R433" s="14">
        <v>47.3</v>
      </c>
      <c r="S433" s="34">
        <f t="shared" si="126"/>
        <v>5.25</v>
      </c>
      <c r="T433" s="14"/>
      <c r="U433" s="14"/>
      <c r="V433" s="14"/>
      <c r="W433" s="14"/>
      <c r="X433" s="14"/>
      <c r="Y433" s="25">
        <f>E433+G433+I433+K433+M433+O433+Q433+S433+U433+W433</f>
        <v>47.3</v>
      </c>
      <c r="Z433" s="26">
        <f>(Y433/C433)*100</f>
        <v>67.571428571428569</v>
      </c>
      <c r="AA433" s="26">
        <f>(Y433/D433)*100</f>
        <v>67.571428571428569</v>
      </c>
      <c r="AB433"/>
    </row>
    <row r="434" spans="1:32">
      <c r="B434" s="18" t="s">
        <v>10</v>
      </c>
      <c r="C434" s="19">
        <f>SUM(C409:C433)</f>
        <v>5375</v>
      </c>
      <c r="D434" s="19">
        <f>SUM(D409:D433)</f>
        <v>5559.46</v>
      </c>
      <c r="E434" s="20">
        <f>SUM(E409:E433)</f>
        <v>866.65907999999979</v>
      </c>
      <c r="F434" s="20">
        <f t="shared" ref="F434:Y434" si="127">SUM(F409:F433)</f>
        <v>1260.7027299999995</v>
      </c>
      <c r="G434" s="20">
        <f>SUM(G409:G433)</f>
        <v>394.04365000000007</v>
      </c>
      <c r="H434" s="20">
        <f t="shared" si="127"/>
        <v>1759.9142699999998</v>
      </c>
      <c r="I434" s="20">
        <f t="shared" si="127"/>
        <v>499.21154000000001</v>
      </c>
      <c r="J434" s="20">
        <f t="shared" si="127"/>
        <v>2280.3748300000002</v>
      </c>
      <c r="K434" s="20">
        <f t="shared" si="127"/>
        <v>520.4605600000001</v>
      </c>
      <c r="L434" s="20">
        <f t="shared" si="127"/>
        <v>2828.3073800000011</v>
      </c>
      <c r="M434" s="20">
        <f t="shared" si="127"/>
        <v>547.93254999999988</v>
      </c>
      <c r="N434" s="20">
        <f t="shared" si="127"/>
        <v>3228.96596</v>
      </c>
      <c r="O434" s="20">
        <f t="shared" si="127"/>
        <v>400.65857999999992</v>
      </c>
      <c r="P434" s="76">
        <f t="shared" si="127"/>
        <v>3779.1271600000005</v>
      </c>
      <c r="Q434" s="20">
        <f t="shared" si="127"/>
        <v>550.16119999999989</v>
      </c>
      <c r="R434" s="76">
        <f t="shared" si="127"/>
        <v>4285.8300099999997</v>
      </c>
      <c r="S434" s="76">
        <f t="shared" si="127"/>
        <v>506.70285000000001</v>
      </c>
      <c r="T434" s="20">
        <f t="shared" si="127"/>
        <v>0</v>
      </c>
      <c r="U434" s="20">
        <f t="shared" si="127"/>
        <v>0</v>
      </c>
      <c r="V434" s="20">
        <f t="shared" si="127"/>
        <v>0</v>
      </c>
      <c r="W434" s="20">
        <f t="shared" si="127"/>
        <v>0</v>
      </c>
      <c r="X434" s="20"/>
      <c r="Y434" s="76">
        <f t="shared" si="127"/>
        <v>4285.8300099999997</v>
      </c>
      <c r="Z434" s="18">
        <f>(Y434/C434)*100</f>
        <v>79.736372279069755</v>
      </c>
      <c r="AA434" s="18">
        <f>(Y434/D434)*100</f>
        <v>77.090760793314445</v>
      </c>
      <c r="AB434"/>
    </row>
    <row r="435" spans="1:32" ht="17.25" customHeight="1">
      <c r="B435" s="4"/>
      <c r="C435" s="5"/>
      <c r="D435" s="5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395"/>
      <c r="AB435"/>
    </row>
    <row r="436" spans="1:32" ht="17.25" customHeight="1">
      <c r="B436" s="4"/>
      <c r="C436" s="5"/>
      <c r="D436" s="5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395"/>
      <c r="AB436"/>
      <c r="AC436" s="529"/>
    </row>
    <row r="437" spans="1:32" ht="43.5" customHeight="1">
      <c r="A437" s="75" t="s">
        <v>313</v>
      </c>
      <c r="B437" s="490" t="s">
        <v>589</v>
      </c>
      <c r="C437" s="507" t="s">
        <v>524</v>
      </c>
      <c r="D437" s="508" t="s">
        <v>315</v>
      </c>
      <c r="E437" s="393" t="s">
        <v>523</v>
      </c>
      <c r="F437" s="393" t="s">
        <v>525</v>
      </c>
      <c r="G437" s="460" t="s">
        <v>534</v>
      </c>
      <c r="H437" s="393" t="s">
        <v>526</v>
      </c>
      <c r="I437" s="460" t="s">
        <v>535</v>
      </c>
      <c r="J437" s="393" t="s">
        <v>527</v>
      </c>
      <c r="K437" s="460" t="s">
        <v>536</v>
      </c>
      <c r="L437" s="393" t="s">
        <v>528</v>
      </c>
      <c r="M437" s="460" t="s">
        <v>537</v>
      </c>
      <c r="N437" s="393" t="s">
        <v>529</v>
      </c>
      <c r="O437" s="460" t="s">
        <v>538</v>
      </c>
      <c r="P437" s="393" t="s">
        <v>530</v>
      </c>
      <c r="Q437" s="460" t="s">
        <v>539</v>
      </c>
      <c r="R437" s="393" t="s">
        <v>531</v>
      </c>
      <c r="S437" s="460" t="s">
        <v>540</v>
      </c>
      <c r="T437" s="393" t="s">
        <v>532</v>
      </c>
      <c r="U437" s="460" t="s">
        <v>541</v>
      </c>
      <c r="V437" s="393" t="s">
        <v>533</v>
      </c>
      <c r="W437" s="460" t="s">
        <v>542</v>
      </c>
      <c r="X437" s="10"/>
      <c r="Y437" s="393" t="s">
        <v>543</v>
      </c>
      <c r="Z437" s="492"/>
      <c r="AA437" s="493"/>
      <c r="AB437"/>
      <c r="AC437" s="529"/>
      <c r="AE437" s="496"/>
      <c r="AF437" s="497"/>
    </row>
    <row r="438" spans="1:32" ht="49.5" customHeight="1">
      <c r="A438" s="2" t="s">
        <v>588</v>
      </c>
      <c r="B438" s="491" t="s">
        <v>607</v>
      </c>
      <c r="C438" s="23">
        <v>0</v>
      </c>
      <c r="D438" s="23">
        <v>850</v>
      </c>
      <c r="E438" s="34"/>
      <c r="F438" s="34"/>
      <c r="G438" s="34"/>
      <c r="H438" s="34"/>
      <c r="I438" s="34">
        <f>H438-F438</f>
        <v>0</v>
      </c>
      <c r="J438" s="34"/>
      <c r="K438" s="25">
        <f>J438-H438</f>
        <v>0</v>
      </c>
      <c r="L438" s="34">
        <v>0</v>
      </c>
      <c r="M438" s="34">
        <f>L438-J438</f>
        <v>0</v>
      </c>
      <c r="N438" s="34"/>
      <c r="O438" s="34">
        <f>N438-L438</f>
        <v>0</v>
      </c>
      <c r="P438" s="34"/>
      <c r="Q438" s="25">
        <f>P438-N438</f>
        <v>0</v>
      </c>
      <c r="R438" s="34"/>
      <c r="S438" s="34">
        <f>R438-P438</f>
        <v>0</v>
      </c>
      <c r="T438" s="34"/>
      <c r="U438" s="34"/>
      <c r="V438" s="34"/>
      <c r="W438" s="34"/>
      <c r="X438" s="34"/>
      <c r="Y438" s="25">
        <f>E438+G438+I438+K438+M438+O438+Q438+S438+U438+W438</f>
        <v>0</v>
      </c>
      <c r="Z438" s="494"/>
      <c r="AA438" s="494"/>
      <c r="AB438"/>
      <c r="AC438" s="529"/>
      <c r="AE438" s="497"/>
      <c r="AF438" s="497"/>
    </row>
    <row r="439" spans="1:32" ht="14.25" customHeight="1">
      <c r="B439" s="41" t="s">
        <v>10</v>
      </c>
      <c r="C439" s="42">
        <f>C438</f>
        <v>0</v>
      </c>
      <c r="D439" s="42">
        <f>D438</f>
        <v>850</v>
      </c>
      <c r="E439" s="417">
        <f>SUM(E438)</f>
        <v>0</v>
      </c>
      <c r="F439" s="417">
        <f t="shared" ref="F439:W439" si="128">SUM(F438)</f>
        <v>0</v>
      </c>
      <c r="G439" s="417">
        <f t="shared" si="128"/>
        <v>0</v>
      </c>
      <c r="H439" s="417">
        <f t="shared" si="128"/>
        <v>0</v>
      </c>
      <c r="I439" s="417">
        <f t="shared" si="128"/>
        <v>0</v>
      </c>
      <c r="J439" s="417">
        <f t="shared" si="128"/>
        <v>0</v>
      </c>
      <c r="K439" s="417">
        <f t="shared" si="128"/>
        <v>0</v>
      </c>
      <c r="L439" s="417">
        <f t="shared" si="128"/>
        <v>0</v>
      </c>
      <c r="M439" s="417">
        <f t="shared" si="128"/>
        <v>0</v>
      </c>
      <c r="N439" s="417">
        <f t="shared" si="128"/>
        <v>0</v>
      </c>
      <c r="O439" s="417">
        <f t="shared" si="128"/>
        <v>0</v>
      </c>
      <c r="P439" s="417">
        <f t="shared" si="128"/>
        <v>0</v>
      </c>
      <c r="Q439" s="417">
        <f t="shared" si="128"/>
        <v>0</v>
      </c>
      <c r="R439" s="417">
        <f t="shared" si="128"/>
        <v>0</v>
      </c>
      <c r="S439" s="417">
        <f t="shared" si="128"/>
        <v>0</v>
      </c>
      <c r="T439" s="417">
        <f t="shared" si="128"/>
        <v>0</v>
      </c>
      <c r="U439" s="417">
        <f t="shared" si="128"/>
        <v>0</v>
      </c>
      <c r="V439" s="417">
        <f t="shared" si="128"/>
        <v>0</v>
      </c>
      <c r="W439" s="417">
        <f t="shared" si="128"/>
        <v>0</v>
      </c>
      <c r="X439" s="417"/>
      <c r="Y439" s="417">
        <f>SUM(Y438)</f>
        <v>0</v>
      </c>
      <c r="Z439" s="41"/>
      <c r="AA439" s="41"/>
      <c r="AB439"/>
      <c r="AC439" s="529"/>
      <c r="AE439" s="417"/>
      <c r="AF439" s="417"/>
    </row>
    <row r="440" spans="1:32" ht="14.25" customHeight="1">
      <c r="B440" s="41"/>
      <c r="C440" s="42"/>
      <c r="D440" s="42"/>
      <c r="E440" s="417"/>
      <c r="F440" s="417"/>
      <c r="G440" s="417"/>
      <c r="H440" s="417"/>
      <c r="I440" s="417"/>
      <c r="J440" s="417"/>
      <c r="K440" s="417"/>
      <c r="L440" s="417"/>
      <c r="M440" s="417"/>
      <c r="N440" s="417"/>
      <c r="O440" s="417"/>
      <c r="P440" s="417"/>
      <c r="Q440" s="417"/>
      <c r="R440" s="417"/>
      <c r="S440" s="417"/>
      <c r="T440" s="417"/>
      <c r="U440" s="417"/>
      <c r="V440" s="417"/>
      <c r="W440" s="417"/>
      <c r="X440" s="417"/>
      <c r="Y440" s="417"/>
      <c r="Z440" s="41"/>
      <c r="AA440" s="41"/>
      <c r="AB440"/>
      <c r="AC440" s="560"/>
      <c r="AE440" s="417"/>
      <c r="AF440" s="417"/>
    </row>
    <row r="441" spans="1:32" ht="17.25" customHeight="1">
      <c r="B441" s="4"/>
      <c r="C441" s="5"/>
      <c r="D441" s="5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395"/>
      <c r="AB441"/>
    </row>
    <row r="442" spans="1:32" ht="43.5" customHeight="1">
      <c r="A442" s="75" t="s">
        <v>313</v>
      </c>
      <c r="B442" s="490" t="s">
        <v>589</v>
      </c>
      <c r="C442" s="507" t="s">
        <v>524</v>
      </c>
      <c r="D442" s="508" t="s">
        <v>315</v>
      </c>
      <c r="E442" s="393" t="s">
        <v>523</v>
      </c>
      <c r="F442" s="393" t="s">
        <v>525</v>
      </c>
      <c r="G442" s="460" t="s">
        <v>534</v>
      </c>
      <c r="H442" s="393" t="s">
        <v>526</v>
      </c>
      <c r="I442" s="460" t="s">
        <v>535</v>
      </c>
      <c r="J442" s="393" t="s">
        <v>527</v>
      </c>
      <c r="K442" s="460" t="s">
        <v>536</v>
      </c>
      <c r="L442" s="393" t="s">
        <v>528</v>
      </c>
      <c r="M442" s="460" t="s">
        <v>537</v>
      </c>
      <c r="N442" s="393" t="s">
        <v>529</v>
      </c>
      <c r="O442" s="460" t="s">
        <v>538</v>
      </c>
      <c r="P442" s="393" t="s">
        <v>530</v>
      </c>
      <c r="Q442" s="460" t="s">
        <v>539</v>
      </c>
      <c r="R442" s="393" t="s">
        <v>531</v>
      </c>
      <c r="S442" s="460" t="s">
        <v>540</v>
      </c>
      <c r="T442" s="393" t="s">
        <v>532</v>
      </c>
      <c r="U442" s="460" t="s">
        <v>541</v>
      </c>
      <c r="V442" s="393" t="s">
        <v>533</v>
      </c>
      <c r="W442" s="460" t="s">
        <v>542</v>
      </c>
      <c r="X442" s="10"/>
      <c r="Y442" s="393" t="s">
        <v>543</v>
      </c>
      <c r="Z442" s="492"/>
      <c r="AA442" s="493"/>
      <c r="AB442"/>
      <c r="AC442" s="495"/>
      <c r="AE442" s="496"/>
      <c r="AF442" s="497"/>
    </row>
    <row r="443" spans="1:32" ht="49.5" customHeight="1">
      <c r="A443" s="2" t="s">
        <v>588</v>
      </c>
      <c r="B443" s="491" t="s">
        <v>629</v>
      </c>
      <c r="C443" s="23">
        <v>60</v>
      </c>
      <c r="D443" s="23">
        <v>2820</v>
      </c>
      <c r="E443" s="34">
        <v>51.485999999999997</v>
      </c>
      <c r="F443" s="34">
        <v>51.485999999999997</v>
      </c>
      <c r="G443" s="34"/>
      <c r="H443" s="34">
        <v>51.485999999999997</v>
      </c>
      <c r="I443" s="34">
        <f>H443-F443</f>
        <v>0</v>
      </c>
      <c r="J443" s="34">
        <v>51.485999999999997</v>
      </c>
      <c r="K443" s="25">
        <f>J443-H443</f>
        <v>0</v>
      </c>
      <c r="L443" s="34">
        <v>87.786000000000001</v>
      </c>
      <c r="M443" s="34">
        <f>L443-J443</f>
        <v>36.300000000000004</v>
      </c>
      <c r="N443" s="34">
        <v>87.786000000000001</v>
      </c>
      <c r="O443" s="34">
        <f>N443-L443</f>
        <v>0</v>
      </c>
      <c r="P443" s="34">
        <v>87.786000000000001</v>
      </c>
      <c r="Q443" s="25">
        <f>P443-N443</f>
        <v>0</v>
      </c>
      <c r="R443" s="34">
        <v>87.786000000000001</v>
      </c>
      <c r="S443" s="34">
        <f>R443-P443</f>
        <v>0</v>
      </c>
      <c r="T443" s="34"/>
      <c r="U443" s="34"/>
      <c r="V443" s="34"/>
      <c r="W443" s="34"/>
      <c r="X443" s="34"/>
      <c r="Y443" s="25">
        <f>E443+G443+I443+K443+M443+O443+Q443+S443+U443+W443</f>
        <v>87.786000000000001</v>
      </c>
      <c r="Z443" s="494"/>
      <c r="AA443" s="494"/>
      <c r="AB443"/>
      <c r="AC443" s="501" t="s">
        <v>600</v>
      </c>
      <c r="AE443" s="497"/>
      <c r="AF443" s="497"/>
    </row>
    <row r="444" spans="1:32" ht="14.25" customHeight="1">
      <c r="B444" s="41" t="s">
        <v>10</v>
      </c>
      <c r="C444" s="42">
        <f>C443</f>
        <v>60</v>
      </c>
      <c r="D444" s="42">
        <f>D443</f>
        <v>2820</v>
      </c>
      <c r="E444" s="417">
        <f>SUM(E443)</f>
        <v>51.485999999999997</v>
      </c>
      <c r="F444" s="417">
        <f t="shared" ref="F444:W444" si="129">SUM(F443)</f>
        <v>51.485999999999997</v>
      </c>
      <c r="G444" s="417">
        <f t="shared" si="129"/>
        <v>0</v>
      </c>
      <c r="H444" s="417">
        <f t="shared" si="129"/>
        <v>51.485999999999997</v>
      </c>
      <c r="I444" s="417">
        <f t="shared" si="129"/>
        <v>0</v>
      </c>
      <c r="J444" s="417">
        <f t="shared" si="129"/>
        <v>51.485999999999997</v>
      </c>
      <c r="K444" s="417">
        <f t="shared" si="129"/>
        <v>0</v>
      </c>
      <c r="L444" s="417">
        <f t="shared" si="129"/>
        <v>87.786000000000001</v>
      </c>
      <c r="M444" s="417">
        <f t="shared" si="129"/>
        <v>36.300000000000004</v>
      </c>
      <c r="N444" s="417">
        <f t="shared" si="129"/>
        <v>87.786000000000001</v>
      </c>
      <c r="O444" s="417">
        <f t="shared" si="129"/>
        <v>0</v>
      </c>
      <c r="P444" s="417">
        <f t="shared" si="129"/>
        <v>87.786000000000001</v>
      </c>
      <c r="Q444" s="417">
        <f t="shared" si="129"/>
        <v>0</v>
      </c>
      <c r="R444" s="417">
        <f t="shared" si="129"/>
        <v>87.786000000000001</v>
      </c>
      <c r="S444" s="417">
        <f t="shared" si="129"/>
        <v>0</v>
      </c>
      <c r="T444" s="417">
        <f t="shared" si="129"/>
        <v>0</v>
      </c>
      <c r="U444" s="417">
        <f t="shared" si="129"/>
        <v>0</v>
      </c>
      <c r="V444" s="417">
        <f t="shared" si="129"/>
        <v>0</v>
      </c>
      <c r="W444" s="417">
        <f t="shared" si="129"/>
        <v>0</v>
      </c>
      <c r="X444" s="417"/>
      <c r="Y444" s="417">
        <f>SUM(Y443)</f>
        <v>87.786000000000001</v>
      </c>
      <c r="Z444" s="41"/>
      <c r="AA444" s="41"/>
      <c r="AB444"/>
      <c r="AC444" s="499">
        <f>Y444+Y434+Y439</f>
        <v>4373.6160099999997</v>
      </c>
      <c r="AE444" s="417"/>
      <c r="AF444" s="417"/>
    </row>
    <row r="445" spans="1:32" ht="17.25" customHeight="1">
      <c r="B445" s="4"/>
      <c r="C445" s="5"/>
      <c r="D445" s="5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395"/>
      <c r="AB445"/>
    </row>
    <row r="446" spans="1:32" ht="17.25" customHeight="1">
      <c r="B446" s="566" t="s">
        <v>650</v>
      </c>
      <c r="C446" s="565">
        <f>C434+C439+C444</f>
        <v>5435</v>
      </c>
      <c r="D446" s="565">
        <f>D434+D439+D444</f>
        <v>9229.4599999999991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395"/>
      <c r="AB446"/>
      <c r="AC446" s="560"/>
    </row>
    <row r="447" spans="1:32" ht="17.25" customHeight="1">
      <c r="B447" s="4"/>
      <c r="C447" s="5"/>
      <c r="D447" s="5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395"/>
      <c r="AB447"/>
    </row>
    <row r="448" spans="1:32" ht="41.25" customHeight="1">
      <c r="A448" s="75" t="s">
        <v>313</v>
      </c>
      <c r="B448" s="488" t="s">
        <v>551</v>
      </c>
      <c r="C448" s="507" t="s">
        <v>524</v>
      </c>
      <c r="D448" s="508" t="s">
        <v>315</v>
      </c>
      <c r="E448" s="393" t="s">
        <v>523</v>
      </c>
      <c r="F448" s="393" t="s">
        <v>525</v>
      </c>
      <c r="G448" s="460" t="s">
        <v>534</v>
      </c>
      <c r="H448" s="393" t="s">
        <v>526</v>
      </c>
      <c r="I448" s="460" t="s">
        <v>535</v>
      </c>
      <c r="J448" s="393" t="s">
        <v>527</v>
      </c>
      <c r="K448" s="460" t="s">
        <v>536</v>
      </c>
      <c r="L448" s="393" t="s">
        <v>528</v>
      </c>
      <c r="M448" s="460" t="s">
        <v>537</v>
      </c>
      <c r="N448" s="393" t="s">
        <v>529</v>
      </c>
      <c r="O448" s="460" t="s">
        <v>538</v>
      </c>
      <c r="P448" s="393" t="s">
        <v>530</v>
      </c>
      <c r="Q448" s="460" t="s">
        <v>539</v>
      </c>
      <c r="R448" s="393" t="s">
        <v>531</v>
      </c>
      <c r="S448" s="460" t="s">
        <v>540</v>
      </c>
      <c r="T448" s="393" t="s">
        <v>532</v>
      </c>
      <c r="U448" s="460" t="s">
        <v>541</v>
      </c>
      <c r="V448" s="393" t="s">
        <v>533</v>
      </c>
      <c r="W448" s="460" t="s">
        <v>542</v>
      </c>
      <c r="X448" s="10"/>
      <c r="Y448" s="393" t="s">
        <v>543</v>
      </c>
      <c r="Z448" s="10" t="s">
        <v>309</v>
      </c>
      <c r="AA448" s="396" t="s">
        <v>7</v>
      </c>
      <c r="AB448"/>
    </row>
    <row r="449" spans="1:29">
      <c r="A449" s="2" t="s">
        <v>552</v>
      </c>
      <c r="B449" s="11" t="s">
        <v>410</v>
      </c>
      <c r="C449" s="64"/>
      <c r="D449" s="13">
        <v>824.75</v>
      </c>
      <c r="E449" s="14">
        <v>273.34699999999998</v>
      </c>
      <c r="F449" s="14">
        <v>350.08499999999998</v>
      </c>
      <c r="G449" s="14">
        <f>F449-E449</f>
        <v>76.738</v>
      </c>
      <c r="H449" s="14">
        <v>423.178</v>
      </c>
      <c r="I449" s="14">
        <f>H449-F449</f>
        <v>73.093000000000018</v>
      </c>
      <c r="J449" s="14">
        <v>495.85199999999998</v>
      </c>
      <c r="K449" s="25">
        <f>J449-H449</f>
        <v>72.673999999999978</v>
      </c>
      <c r="L449" s="14">
        <v>570.89649999999995</v>
      </c>
      <c r="M449" s="34">
        <f>L449-J449</f>
        <v>75.044499999999971</v>
      </c>
      <c r="N449" s="14">
        <v>651.55150000000003</v>
      </c>
      <c r="O449" s="34">
        <f>N449-L449</f>
        <v>80.655000000000086</v>
      </c>
      <c r="P449" s="14">
        <v>731.94624999999996</v>
      </c>
      <c r="Q449" s="25">
        <f>P449-N449</f>
        <v>80.394749999999931</v>
      </c>
      <c r="R449" s="14">
        <v>812.28625</v>
      </c>
      <c r="S449" s="34">
        <f>R449-P449</f>
        <v>80.340000000000032</v>
      </c>
      <c r="T449" s="14"/>
      <c r="U449" s="14"/>
      <c r="V449" s="14"/>
      <c r="W449" s="14"/>
      <c r="X449" s="14"/>
      <c r="Y449" s="25">
        <f>E449+G449+I449+K449+M449+O449+Q449+S449+U449+W449</f>
        <v>812.28625</v>
      </c>
      <c r="Z449" s="478"/>
      <c r="AA449" s="26">
        <f>(Y449/D449)*100</f>
        <v>98.488784480145497</v>
      </c>
      <c r="AB449"/>
    </row>
    <row r="450" spans="1:29">
      <c r="B450" s="17" t="s">
        <v>617</v>
      </c>
      <c r="C450" s="64"/>
      <c r="D450" s="23">
        <v>293.2</v>
      </c>
      <c r="E450" s="34">
        <v>98.251999999999995</v>
      </c>
      <c r="F450" s="34">
        <v>123.92</v>
      </c>
      <c r="G450" s="14">
        <f>F450-E450</f>
        <v>25.668000000000006</v>
      </c>
      <c r="H450" s="34">
        <v>149.79300000000001</v>
      </c>
      <c r="I450" s="14">
        <f>H450-F450</f>
        <v>25.873000000000005</v>
      </c>
      <c r="J450" s="34">
        <v>175.518</v>
      </c>
      <c r="K450" s="25">
        <f>J450-H450</f>
        <v>25.724999999999994</v>
      </c>
      <c r="L450" s="34">
        <v>201.18700000000001</v>
      </c>
      <c r="M450" s="34">
        <f>L450-J450</f>
        <v>25.669000000000011</v>
      </c>
      <c r="N450" s="34">
        <v>229.73699999999999</v>
      </c>
      <c r="O450" s="34">
        <f>N450-L450</f>
        <v>28.549999999999983</v>
      </c>
      <c r="P450" s="34">
        <v>258.125</v>
      </c>
      <c r="Q450" s="25">
        <f>P450-N450</f>
        <v>28.388000000000005</v>
      </c>
      <c r="R450" s="34">
        <v>286.56299999999999</v>
      </c>
      <c r="S450" s="34">
        <f>R450-P450</f>
        <v>28.437999999999988</v>
      </c>
      <c r="T450" s="34"/>
      <c r="U450" s="34"/>
      <c r="V450" s="34"/>
      <c r="W450" s="34"/>
      <c r="X450" s="34"/>
      <c r="Y450" s="25">
        <f>E450+G450+I450+K450+M450+O450+Q450+S450+U450+W450</f>
        <v>286.56299999999999</v>
      </c>
      <c r="Z450" s="478"/>
      <c r="AA450" s="26">
        <f>(Y450/D450)*100</f>
        <v>97.736357435197817</v>
      </c>
      <c r="AB450"/>
    </row>
    <row r="451" spans="1:29">
      <c r="B451" s="11" t="s">
        <v>327</v>
      </c>
      <c r="C451" s="64"/>
      <c r="D451" s="13">
        <v>130.86000000000001</v>
      </c>
      <c r="E451" s="14">
        <v>42.110999999999997</v>
      </c>
      <c r="F451" s="14">
        <v>53.112000000000002</v>
      </c>
      <c r="G451" s="14">
        <f>F451-E451</f>
        <v>11.001000000000005</v>
      </c>
      <c r="H451" s="14">
        <v>64.201999999999998</v>
      </c>
      <c r="I451" s="14">
        <f>H451-F451</f>
        <v>11.089999999999996</v>
      </c>
      <c r="J451" s="14">
        <v>75.227999999999994</v>
      </c>
      <c r="K451" s="25">
        <f>J451-H451</f>
        <v>11.025999999999996</v>
      </c>
      <c r="L451" s="14">
        <v>83.705500000000001</v>
      </c>
      <c r="M451" s="34">
        <f>L451-J451</f>
        <v>8.4775000000000063</v>
      </c>
      <c r="N451" s="14">
        <v>95.942499999999995</v>
      </c>
      <c r="O451" s="34">
        <f>N451-L451</f>
        <v>12.236999999999995</v>
      </c>
      <c r="P451" s="14">
        <v>107.91475</v>
      </c>
      <c r="Q451" s="25">
        <f>P451-N451</f>
        <v>11.972250000000003</v>
      </c>
      <c r="R451" s="14">
        <v>120.10375000000001</v>
      </c>
      <c r="S451" s="34">
        <f>R451-P451</f>
        <v>12.189000000000007</v>
      </c>
      <c r="T451" s="14"/>
      <c r="U451" s="14"/>
      <c r="V451" s="14"/>
      <c r="W451" s="14"/>
      <c r="X451" s="14"/>
      <c r="Y451" s="25">
        <f>E451+G451+I451+K451+M451+O451+Q451+S451+U451+W451</f>
        <v>120.10375000000001</v>
      </c>
      <c r="Z451" s="478"/>
      <c r="AA451" s="26">
        <f>(Y451/D451)*100</f>
        <v>91.780337765550968</v>
      </c>
      <c r="AB451"/>
    </row>
    <row r="452" spans="1:29">
      <c r="B452" s="17" t="s">
        <v>320</v>
      </c>
      <c r="C452" s="64"/>
      <c r="D452" s="13">
        <v>2</v>
      </c>
      <c r="E452" s="14"/>
      <c r="F452" s="14"/>
      <c r="G452" s="14"/>
      <c r="H452" s="14">
        <v>0.69299999999999995</v>
      </c>
      <c r="I452" s="14">
        <f>H452-F452</f>
        <v>0.69299999999999995</v>
      </c>
      <c r="J452" s="14">
        <v>0.59299999999999997</v>
      </c>
      <c r="K452" s="25">
        <f>J452-H452</f>
        <v>-9.9999999999999978E-2</v>
      </c>
      <c r="L452" s="14">
        <v>1.256</v>
      </c>
      <c r="M452" s="34">
        <f>L452-J452</f>
        <v>0.66300000000000003</v>
      </c>
      <c r="N452" s="14">
        <v>1.256</v>
      </c>
      <c r="O452" s="34">
        <f>N452-L452</f>
        <v>0</v>
      </c>
      <c r="P452" s="14">
        <v>1.256</v>
      </c>
      <c r="Q452" s="25">
        <f>P452-N452</f>
        <v>0</v>
      </c>
      <c r="R452" s="14">
        <v>1.256</v>
      </c>
      <c r="S452" s="34">
        <f>R452-P452</f>
        <v>0</v>
      </c>
      <c r="T452" s="14"/>
      <c r="U452" s="14"/>
      <c r="V452" s="14"/>
      <c r="W452" s="14"/>
      <c r="X452" s="14"/>
      <c r="Y452" s="25">
        <f>E452+G452+I452+K452+M452+O452+Q452+S452+U452+W452</f>
        <v>1.256</v>
      </c>
      <c r="Z452" s="478"/>
      <c r="AA452" s="26">
        <f>(Y452/D452)*100</f>
        <v>62.8</v>
      </c>
      <c r="AB452"/>
      <c r="AC452" s="533"/>
    </row>
    <row r="453" spans="1:29">
      <c r="B453" s="18" t="s">
        <v>10</v>
      </c>
      <c r="C453" s="19">
        <f>SUM(C449:C451)</f>
        <v>0</v>
      </c>
      <c r="D453" s="19">
        <f>SUM(D449:D452)</f>
        <v>1250.81</v>
      </c>
      <c r="E453" s="20">
        <f>SUM(E449:E451)</f>
        <v>413.71</v>
      </c>
      <c r="F453" s="20">
        <f t="shared" ref="F453:W453" si="130">SUM(F449:F451)</f>
        <v>527.11699999999996</v>
      </c>
      <c r="G453" s="20">
        <f t="shared" si="130"/>
        <v>113.40700000000001</v>
      </c>
      <c r="H453" s="20">
        <f>SUM(H449:H452)</f>
        <v>637.86599999999999</v>
      </c>
      <c r="I453" s="20">
        <f t="shared" si="130"/>
        <v>110.05600000000001</v>
      </c>
      <c r="J453" s="20">
        <f>SUM(J449:J452)</f>
        <v>747.19099999999992</v>
      </c>
      <c r="K453" s="20">
        <f t="shared" si="130"/>
        <v>109.42499999999997</v>
      </c>
      <c r="L453" s="20">
        <f>SUM(L449:L452)</f>
        <v>857.04499999999996</v>
      </c>
      <c r="M453" s="20">
        <f t="shared" si="130"/>
        <v>109.19099999999999</v>
      </c>
      <c r="N453" s="20">
        <f>SUM(N449:N452)</f>
        <v>978.48699999999997</v>
      </c>
      <c r="O453" s="20">
        <f t="shared" si="130"/>
        <v>121.44200000000006</v>
      </c>
      <c r="P453" s="76">
        <f>SUM(P449:P452)</f>
        <v>1099.242</v>
      </c>
      <c r="Q453" s="20">
        <f t="shared" si="130"/>
        <v>120.75499999999994</v>
      </c>
      <c r="R453" s="76">
        <f>SUM(R449:R452)</f>
        <v>1220.2090000000001</v>
      </c>
      <c r="S453" s="20">
        <f t="shared" si="130"/>
        <v>120.96700000000003</v>
      </c>
      <c r="T453" s="20">
        <f t="shared" si="130"/>
        <v>0</v>
      </c>
      <c r="U453" s="20">
        <f t="shared" si="130"/>
        <v>0</v>
      </c>
      <c r="V453" s="20">
        <f t="shared" si="130"/>
        <v>0</v>
      </c>
      <c r="W453" s="20">
        <f t="shared" si="130"/>
        <v>0</v>
      </c>
      <c r="X453" s="20"/>
      <c r="Y453" s="76">
        <f>SUM(Y449:Y452)</f>
        <v>1220.2090000000001</v>
      </c>
      <c r="Z453" s="479">
        <v>0</v>
      </c>
      <c r="AA453" s="18">
        <f>(Y453/D453)*100</f>
        <v>97.553505328547104</v>
      </c>
      <c r="AB453"/>
    </row>
    <row r="454" spans="1:29" ht="17.25" customHeight="1">
      <c r="B454" s="4"/>
      <c r="C454" s="5"/>
      <c r="D454" s="5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395"/>
      <c r="AB454"/>
    </row>
    <row r="455" spans="1:29" ht="17.25" customHeight="1">
      <c r="B455" s="4"/>
      <c r="C455" s="5"/>
      <c r="D455" s="5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395"/>
      <c r="AB455"/>
    </row>
    <row r="456" spans="1:29" ht="41.25" customHeight="1">
      <c r="A456" s="75" t="s">
        <v>313</v>
      </c>
      <c r="B456" s="8" t="s">
        <v>477</v>
      </c>
      <c r="C456" s="507" t="s">
        <v>524</v>
      </c>
      <c r="D456" s="508" t="s">
        <v>315</v>
      </c>
      <c r="E456" s="393" t="s">
        <v>523</v>
      </c>
      <c r="F456" s="393" t="s">
        <v>525</v>
      </c>
      <c r="G456" s="460" t="s">
        <v>534</v>
      </c>
      <c r="H456" s="393" t="s">
        <v>526</v>
      </c>
      <c r="I456" s="460" t="s">
        <v>535</v>
      </c>
      <c r="J456" s="393" t="s">
        <v>527</v>
      </c>
      <c r="K456" s="460" t="s">
        <v>536</v>
      </c>
      <c r="L456" s="393" t="s">
        <v>528</v>
      </c>
      <c r="M456" s="460" t="s">
        <v>537</v>
      </c>
      <c r="N456" s="393" t="s">
        <v>529</v>
      </c>
      <c r="O456" s="460" t="s">
        <v>538</v>
      </c>
      <c r="P456" s="393" t="s">
        <v>530</v>
      </c>
      <c r="Q456" s="460" t="s">
        <v>539</v>
      </c>
      <c r="R456" s="393" t="s">
        <v>531</v>
      </c>
      <c r="S456" s="460" t="s">
        <v>540</v>
      </c>
      <c r="T456" s="393" t="s">
        <v>532</v>
      </c>
      <c r="U456" s="460" t="s">
        <v>541</v>
      </c>
      <c r="V456" s="393" t="s">
        <v>533</v>
      </c>
      <c r="W456" s="460" t="s">
        <v>542</v>
      </c>
      <c r="X456" s="10"/>
      <c r="Y456" s="393" t="s">
        <v>543</v>
      </c>
      <c r="Z456" s="10" t="s">
        <v>309</v>
      </c>
      <c r="AA456" s="396" t="s">
        <v>7</v>
      </c>
      <c r="AB456"/>
    </row>
    <row r="457" spans="1:29">
      <c r="A457" s="75" t="s">
        <v>478</v>
      </c>
      <c r="B457" s="11" t="s">
        <v>410</v>
      </c>
      <c r="C457" s="64">
        <v>90</v>
      </c>
      <c r="D457" s="13">
        <v>90</v>
      </c>
      <c r="E457" s="14">
        <v>20.931000000000001</v>
      </c>
      <c r="F457" s="14">
        <v>29.498000000000001</v>
      </c>
      <c r="G457" s="14">
        <f>F457-E457</f>
        <v>8.5670000000000002</v>
      </c>
      <c r="H457" s="14">
        <v>36.982999999999997</v>
      </c>
      <c r="I457" s="14">
        <f>H457-F457</f>
        <v>7.4849999999999959</v>
      </c>
      <c r="J457" s="14">
        <v>45.058999999999997</v>
      </c>
      <c r="K457" s="25">
        <f t="shared" ref="K457:K467" si="131">J457-H457</f>
        <v>8.0760000000000005</v>
      </c>
      <c r="L457" s="14">
        <v>53.35</v>
      </c>
      <c r="M457" s="34">
        <f t="shared" ref="M457:M467" si="132">L457-J457</f>
        <v>8.2910000000000039</v>
      </c>
      <c r="N457" s="14">
        <v>60.561999999999998</v>
      </c>
      <c r="O457" s="34">
        <f t="shared" ref="O457:O467" si="133">N457-L457</f>
        <v>7.2119999999999962</v>
      </c>
      <c r="P457" s="14">
        <v>68.174000000000007</v>
      </c>
      <c r="Q457" s="25">
        <f t="shared" ref="Q457:Q467" si="134">P457-N457</f>
        <v>7.612000000000009</v>
      </c>
      <c r="R457" s="14">
        <v>76.972999999999999</v>
      </c>
      <c r="S457" s="34">
        <f t="shared" ref="S457:S467" si="135">R457-P457</f>
        <v>8.7989999999999924</v>
      </c>
      <c r="T457" s="14"/>
      <c r="U457" s="14"/>
      <c r="V457" s="14"/>
      <c r="W457" s="14"/>
      <c r="X457" s="14"/>
      <c r="Y457" s="25">
        <f t="shared" ref="Y457:Y464" si="136">E457+G457+I457+K457+M457+O457+Q457+S457+U457+W457</f>
        <v>76.972999999999999</v>
      </c>
      <c r="Z457" s="26">
        <f t="shared" ref="Z457:Z468" si="137">(Y457/C457)*100</f>
        <v>85.525555555555556</v>
      </c>
      <c r="AA457" s="26">
        <f t="shared" ref="AA457:AA464" si="138">(Y457/D457)*100</f>
        <v>85.525555555555556</v>
      </c>
      <c r="AB457"/>
    </row>
    <row r="458" spans="1:29">
      <c r="B458" s="11" t="s">
        <v>479</v>
      </c>
      <c r="C458" s="64">
        <v>30</v>
      </c>
      <c r="D458" s="13">
        <v>30</v>
      </c>
      <c r="E458" s="14">
        <v>7.59</v>
      </c>
      <c r="F458" s="14">
        <v>10.686</v>
      </c>
      <c r="G458" s="14">
        <f t="shared" ref="G458:G467" si="139">F458-E458</f>
        <v>3.0960000000000001</v>
      </c>
      <c r="H458" s="14">
        <v>13.398999999999999</v>
      </c>
      <c r="I458" s="14">
        <f t="shared" ref="I458:I467" si="140">H458-F458</f>
        <v>2.7129999999999992</v>
      </c>
      <c r="J458" s="14">
        <v>16.321000000000002</v>
      </c>
      <c r="K458" s="25">
        <f t="shared" si="131"/>
        <v>2.9220000000000024</v>
      </c>
      <c r="L458" s="14">
        <v>19.318999999999999</v>
      </c>
      <c r="M458" s="34">
        <f t="shared" si="132"/>
        <v>2.9979999999999976</v>
      </c>
      <c r="N458" s="14">
        <v>21.931999999999999</v>
      </c>
      <c r="O458" s="34">
        <f t="shared" si="133"/>
        <v>2.6129999999999995</v>
      </c>
      <c r="P458" s="14">
        <v>24.681999999999999</v>
      </c>
      <c r="Q458" s="25">
        <f t="shared" si="134"/>
        <v>2.75</v>
      </c>
      <c r="R458" s="14">
        <v>27.863</v>
      </c>
      <c r="S458" s="34">
        <f t="shared" si="135"/>
        <v>3.1810000000000009</v>
      </c>
      <c r="T458" s="14"/>
      <c r="U458" s="14"/>
      <c r="V458" s="14"/>
      <c r="W458" s="14"/>
      <c r="X458" s="14"/>
      <c r="Y458" s="25">
        <f t="shared" si="136"/>
        <v>27.863</v>
      </c>
      <c r="Z458" s="26">
        <f t="shared" si="137"/>
        <v>92.876666666666665</v>
      </c>
      <c r="AA458" s="26">
        <f t="shared" si="138"/>
        <v>92.876666666666665</v>
      </c>
      <c r="AB458"/>
      <c r="AC458"/>
    </row>
    <row r="459" spans="1:29">
      <c r="B459" s="11" t="s">
        <v>327</v>
      </c>
      <c r="C459" s="64">
        <v>12</v>
      </c>
      <c r="D459" s="13">
        <v>12</v>
      </c>
      <c r="E459" s="14">
        <v>3.2530000000000001</v>
      </c>
      <c r="F459" s="14">
        <v>4.58</v>
      </c>
      <c r="G459" s="14">
        <f t="shared" si="139"/>
        <v>1.327</v>
      </c>
      <c r="H459" s="14">
        <v>4.58</v>
      </c>
      <c r="I459" s="14">
        <f t="shared" si="140"/>
        <v>0</v>
      </c>
      <c r="J459" s="14">
        <v>6.9950000000000001</v>
      </c>
      <c r="K459" s="25">
        <f t="shared" si="131"/>
        <v>2.415</v>
      </c>
      <c r="L459" s="14">
        <v>8.2799999999999994</v>
      </c>
      <c r="M459" s="34">
        <f t="shared" si="132"/>
        <v>1.2849999999999993</v>
      </c>
      <c r="N459" s="14">
        <v>9.4</v>
      </c>
      <c r="O459" s="34">
        <f t="shared" si="133"/>
        <v>1.120000000000001</v>
      </c>
      <c r="P459" s="14">
        <v>10.579000000000001</v>
      </c>
      <c r="Q459" s="25">
        <f t="shared" si="134"/>
        <v>1.1790000000000003</v>
      </c>
      <c r="R459" s="14">
        <v>11.942</v>
      </c>
      <c r="S459" s="34">
        <f t="shared" si="135"/>
        <v>1.3629999999999995</v>
      </c>
      <c r="T459" s="14"/>
      <c r="U459" s="14"/>
      <c r="V459" s="14"/>
      <c r="W459" s="14"/>
      <c r="X459" s="14"/>
      <c r="Y459" s="25">
        <f t="shared" si="136"/>
        <v>11.942</v>
      </c>
      <c r="Z459" s="26">
        <f t="shared" si="137"/>
        <v>99.516666666666666</v>
      </c>
      <c r="AA459" s="26">
        <f t="shared" si="138"/>
        <v>99.516666666666666</v>
      </c>
      <c r="AB459"/>
      <c r="AC459"/>
    </row>
    <row r="460" spans="1:29">
      <c r="B460" s="11" t="s">
        <v>331</v>
      </c>
      <c r="C460" s="64"/>
      <c r="D460" s="13">
        <v>2</v>
      </c>
      <c r="E460" s="14">
        <v>0.53800000000000003</v>
      </c>
      <c r="F460" s="14">
        <v>0.53800000000000003</v>
      </c>
      <c r="G460" s="14">
        <f t="shared" si="139"/>
        <v>0</v>
      </c>
      <c r="H460" s="14">
        <v>0.53800000000000003</v>
      </c>
      <c r="I460" s="14">
        <f t="shared" si="140"/>
        <v>0</v>
      </c>
      <c r="J460" s="14">
        <v>0.53800000000000003</v>
      </c>
      <c r="K460" s="25">
        <f t="shared" si="131"/>
        <v>0</v>
      </c>
      <c r="L460" s="14">
        <v>0.53800000000000003</v>
      </c>
      <c r="M460" s="34">
        <f t="shared" si="132"/>
        <v>0</v>
      </c>
      <c r="N460" s="14">
        <v>0.53800000000000003</v>
      </c>
      <c r="O460" s="34">
        <f t="shared" si="133"/>
        <v>0</v>
      </c>
      <c r="P460" s="14">
        <v>0.53800000000000003</v>
      </c>
      <c r="Q460" s="25">
        <f t="shared" si="134"/>
        <v>0</v>
      </c>
      <c r="R460" s="14">
        <v>0.53800000000000003</v>
      </c>
      <c r="S460" s="34">
        <f t="shared" si="135"/>
        <v>0</v>
      </c>
      <c r="T460" s="14"/>
      <c r="U460" s="14"/>
      <c r="V460" s="14"/>
      <c r="W460" s="14"/>
      <c r="X460" s="14"/>
      <c r="Y460" s="25">
        <f t="shared" si="136"/>
        <v>0.53800000000000003</v>
      </c>
      <c r="Z460" s="26"/>
      <c r="AA460" s="26">
        <f t="shared" si="138"/>
        <v>26.900000000000002</v>
      </c>
      <c r="AB460"/>
      <c r="AC460"/>
    </row>
    <row r="461" spans="1:29">
      <c r="B461" s="11" t="s">
        <v>332</v>
      </c>
      <c r="C461" s="64">
        <v>10</v>
      </c>
      <c r="D461" s="13">
        <v>10</v>
      </c>
      <c r="E461" s="14"/>
      <c r="F461" s="14"/>
      <c r="G461" s="14"/>
      <c r="H461" s="14"/>
      <c r="I461" s="14">
        <f t="shared" si="140"/>
        <v>0</v>
      </c>
      <c r="J461" s="14">
        <v>3.1509999999999998</v>
      </c>
      <c r="K461" s="25">
        <f t="shared" si="131"/>
        <v>3.1509999999999998</v>
      </c>
      <c r="L461" s="14">
        <v>3.1509999999999998</v>
      </c>
      <c r="M461" s="34">
        <f t="shared" si="132"/>
        <v>0</v>
      </c>
      <c r="N461" s="14">
        <v>3.1509999999999998</v>
      </c>
      <c r="O461" s="34">
        <f t="shared" si="133"/>
        <v>0</v>
      </c>
      <c r="P461" s="14">
        <v>4.0949999999999998</v>
      </c>
      <c r="Q461" s="25">
        <f t="shared" si="134"/>
        <v>0.94399999999999995</v>
      </c>
      <c r="R461" s="14">
        <v>4.0949999999999998</v>
      </c>
      <c r="S461" s="34">
        <f t="shared" si="135"/>
        <v>0</v>
      </c>
      <c r="T461" s="14"/>
      <c r="U461" s="14"/>
      <c r="V461" s="14"/>
      <c r="W461" s="14"/>
      <c r="X461" s="14"/>
      <c r="Y461" s="25">
        <f t="shared" si="136"/>
        <v>4.0949999999999998</v>
      </c>
      <c r="Z461" s="26">
        <f t="shared" si="137"/>
        <v>40.949999999999996</v>
      </c>
      <c r="AA461" s="26">
        <f t="shared" si="138"/>
        <v>40.949999999999996</v>
      </c>
      <c r="AB461"/>
      <c r="AC461"/>
    </row>
    <row r="462" spans="1:29">
      <c r="B462" s="11" t="s">
        <v>412</v>
      </c>
      <c r="C462" s="64">
        <v>2</v>
      </c>
      <c r="D462" s="13">
        <v>2</v>
      </c>
      <c r="E462" s="14"/>
      <c r="F462" s="14"/>
      <c r="G462" s="14"/>
      <c r="H462" s="14"/>
      <c r="I462" s="14">
        <f t="shared" si="140"/>
        <v>0</v>
      </c>
      <c r="J462" s="14">
        <v>0.23200000000000001</v>
      </c>
      <c r="K462" s="25">
        <f t="shared" si="131"/>
        <v>0.23200000000000001</v>
      </c>
      <c r="L462" s="14">
        <v>0.23200000000000001</v>
      </c>
      <c r="M462" s="34">
        <f t="shared" si="132"/>
        <v>0</v>
      </c>
      <c r="N462" s="14">
        <v>0.23200000000000001</v>
      </c>
      <c r="O462" s="34">
        <f t="shared" si="133"/>
        <v>0</v>
      </c>
      <c r="P462" s="14">
        <v>0.23200000000000001</v>
      </c>
      <c r="Q462" s="25">
        <f t="shared" si="134"/>
        <v>0</v>
      </c>
      <c r="R462" s="14">
        <v>0.23200000000000001</v>
      </c>
      <c r="S462" s="34">
        <f t="shared" si="135"/>
        <v>0</v>
      </c>
      <c r="T462" s="14"/>
      <c r="U462" s="14"/>
      <c r="V462" s="14"/>
      <c r="W462" s="14"/>
      <c r="X462" s="14"/>
      <c r="Y462" s="25">
        <f t="shared" si="136"/>
        <v>0.23200000000000001</v>
      </c>
      <c r="Z462" s="26">
        <f t="shared" si="137"/>
        <v>11.600000000000001</v>
      </c>
      <c r="AA462" s="26">
        <f t="shared" si="138"/>
        <v>11.600000000000001</v>
      </c>
      <c r="AB462"/>
      <c r="AC462"/>
    </row>
    <row r="463" spans="1:29">
      <c r="B463" s="11" t="s">
        <v>333</v>
      </c>
      <c r="C463" s="64">
        <v>2</v>
      </c>
      <c r="D463" s="23">
        <v>2</v>
      </c>
      <c r="E463" s="14"/>
      <c r="F463" s="34"/>
      <c r="G463" s="14"/>
      <c r="H463" s="34"/>
      <c r="I463" s="14">
        <f t="shared" si="140"/>
        <v>0</v>
      </c>
      <c r="J463" s="34"/>
      <c r="K463" s="25">
        <f t="shared" si="131"/>
        <v>0</v>
      </c>
      <c r="L463" s="34"/>
      <c r="M463" s="34">
        <f t="shared" si="132"/>
        <v>0</v>
      </c>
      <c r="N463" s="34"/>
      <c r="O463" s="34">
        <f t="shared" si="133"/>
        <v>0</v>
      </c>
      <c r="P463" s="34"/>
      <c r="Q463" s="25">
        <f t="shared" si="134"/>
        <v>0</v>
      </c>
      <c r="R463" s="34"/>
      <c r="S463" s="34">
        <f t="shared" si="135"/>
        <v>0</v>
      </c>
      <c r="T463" s="34"/>
      <c r="U463" s="34"/>
      <c r="V463" s="34"/>
      <c r="W463" s="34"/>
      <c r="X463" s="34"/>
      <c r="Y463" s="25">
        <f t="shared" si="136"/>
        <v>0</v>
      </c>
      <c r="Z463" s="26">
        <f t="shared" si="137"/>
        <v>0</v>
      </c>
      <c r="AA463" s="26">
        <f t="shared" si="138"/>
        <v>0</v>
      </c>
      <c r="AB463"/>
      <c r="AC463"/>
    </row>
    <row r="464" spans="1:29">
      <c r="B464" s="17" t="s">
        <v>319</v>
      </c>
      <c r="C464" s="64">
        <v>229</v>
      </c>
      <c r="D464" s="24">
        <v>207</v>
      </c>
      <c r="E464" s="14">
        <v>11.5</v>
      </c>
      <c r="F464" s="25">
        <v>14.5</v>
      </c>
      <c r="G464" s="14">
        <f t="shared" si="139"/>
        <v>3</v>
      </c>
      <c r="H464" s="25">
        <v>14.5</v>
      </c>
      <c r="I464" s="14">
        <f t="shared" si="140"/>
        <v>0</v>
      </c>
      <c r="J464" s="25">
        <v>41.67</v>
      </c>
      <c r="K464" s="25">
        <f t="shared" si="131"/>
        <v>27.17</v>
      </c>
      <c r="L464" s="25">
        <v>41.67</v>
      </c>
      <c r="M464" s="34">
        <f t="shared" si="132"/>
        <v>0</v>
      </c>
      <c r="N464" s="25">
        <v>41.67</v>
      </c>
      <c r="O464" s="34">
        <f t="shared" si="133"/>
        <v>0</v>
      </c>
      <c r="P464" s="25">
        <v>53.56</v>
      </c>
      <c r="Q464" s="25">
        <f t="shared" si="134"/>
        <v>11.89</v>
      </c>
      <c r="R464" s="25">
        <v>53.56</v>
      </c>
      <c r="S464" s="34">
        <f t="shared" si="135"/>
        <v>0</v>
      </c>
      <c r="T464" s="25"/>
      <c r="U464" s="25"/>
      <c r="V464" s="25"/>
      <c r="W464" s="25"/>
      <c r="X464" s="25"/>
      <c r="Y464" s="25">
        <f t="shared" si="136"/>
        <v>53.56</v>
      </c>
      <c r="Z464" s="26">
        <f t="shared" si="137"/>
        <v>23.388646288209607</v>
      </c>
      <c r="AA464" s="26">
        <f t="shared" si="138"/>
        <v>25.874396135265705</v>
      </c>
      <c r="AB464"/>
      <c r="AC464"/>
    </row>
    <row r="465" spans="1:29">
      <c r="B465" s="11" t="s">
        <v>320</v>
      </c>
      <c r="C465" s="65">
        <v>5</v>
      </c>
      <c r="D465" s="23">
        <v>15</v>
      </c>
      <c r="E465" s="14"/>
      <c r="F465" s="34">
        <v>6.78</v>
      </c>
      <c r="G465" s="14">
        <f t="shared" si="139"/>
        <v>6.78</v>
      </c>
      <c r="H465" s="34">
        <v>6.78</v>
      </c>
      <c r="I465" s="14">
        <f t="shared" si="140"/>
        <v>0</v>
      </c>
      <c r="J465" s="34">
        <v>6.78</v>
      </c>
      <c r="K465" s="25">
        <f t="shared" si="131"/>
        <v>0</v>
      </c>
      <c r="L465" s="34">
        <v>6.78</v>
      </c>
      <c r="M465" s="34">
        <f t="shared" si="132"/>
        <v>0</v>
      </c>
      <c r="N465" s="34">
        <v>6.78</v>
      </c>
      <c r="O465" s="34">
        <f t="shared" si="133"/>
        <v>0</v>
      </c>
      <c r="P465" s="34">
        <v>6.78</v>
      </c>
      <c r="Q465" s="25">
        <f t="shared" si="134"/>
        <v>0</v>
      </c>
      <c r="R465" s="34">
        <v>6.78</v>
      </c>
      <c r="S465" s="34">
        <f t="shared" si="135"/>
        <v>0</v>
      </c>
      <c r="T465" s="34"/>
      <c r="U465" s="34"/>
      <c r="V465" s="34"/>
      <c r="W465" s="34"/>
      <c r="X465" s="34"/>
      <c r="Y465" s="25">
        <f>E465+G465+I465+K465+M465+O465+Q465+S465+U465+W465</f>
        <v>6.78</v>
      </c>
      <c r="Z465" s="26">
        <f t="shared" si="137"/>
        <v>135.60000000000002</v>
      </c>
      <c r="AA465" s="26">
        <f>(Y465/D465)*100</f>
        <v>45.2</v>
      </c>
      <c r="AB465"/>
      <c r="AC465"/>
    </row>
    <row r="466" spans="1:29">
      <c r="B466" s="17" t="s">
        <v>416</v>
      </c>
      <c r="C466" s="65">
        <v>4</v>
      </c>
      <c r="D466" s="23">
        <v>4</v>
      </c>
      <c r="E466" s="34">
        <v>0.19</v>
      </c>
      <c r="F466" s="34">
        <v>0.313</v>
      </c>
      <c r="G466" s="14">
        <f t="shared" si="139"/>
        <v>0.123</v>
      </c>
      <c r="H466" s="34">
        <v>0.313</v>
      </c>
      <c r="I466" s="14">
        <f t="shared" si="140"/>
        <v>0</v>
      </c>
      <c r="J466" s="34">
        <v>0.49299999999999999</v>
      </c>
      <c r="K466" s="25">
        <f t="shared" si="131"/>
        <v>0.18</v>
      </c>
      <c r="L466" s="34">
        <v>0.49299999999999999</v>
      </c>
      <c r="M466" s="34">
        <f t="shared" si="132"/>
        <v>0</v>
      </c>
      <c r="N466" s="34">
        <v>0.49299999999999999</v>
      </c>
      <c r="O466" s="34">
        <f t="shared" si="133"/>
        <v>0</v>
      </c>
      <c r="P466" s="34">
        <v>0.49299999999999999</v>
      </c>
      <c r="Q466" s="25">
        <f t="shared" si="134"/>
        <v>0</v>
      </c>
      <c r="R466" s="34">
        <v>0.66300000000000003</v>
      </c>
      <c r="S466" s="34">
        <f t="shared" si="135"/>
        <v>0.17000000000000004</v>
      </c>
      <c r="T466" s="34"/>
      <c r="U466" s="34"/>
      <c r="V466" s="34"/>
      <c r="W466" s="34"/>
      <c r="X466" s="34"/>
      <c r="Y466" s="25">
        <f>E466+G466+I466+K466+M466+O466+Q466+S466+U466+W466</f>
        <v>0.66300000000000003</v>
      </c>
      <c r="Z466" s="26">
        <f t="shared" si="137"/>
        <v>16.574999999999999</v>
      </c>
      <c r="AA466" s="26">
        <f>(Y466/D466)*100</f>
        <v>16.574999999999999</v>
      </c>
      <c r="AB466"/>
      <c r="AC466"/>
    </row>
    <row r="467" spans="1:29">
      <c r="B467" s="17" t="s">
        <v>426</v>
      </c>
      <c r="C467" s="64"/>
      <c r="D467" s="13">
        <v>10</v>
      </c>
      <c r="E467" s="14">
        <v>0.81</v>
      </c>
      <c r="F467" s="14">
        <v>0.81</v>
      </c>
      <c r="G467" s="14">
        <f t="shared" si="139"/>
        <v>0</v>
      </c>
      <c r="H467" s="14">
        <v>0.81</v>
      </c>
      <c r="I467" s="14">
        <f t="shared" si="140"/>
        <v>0</v>
      </c>
      <c r="J467" s="14">
        <v>0.81</v>
      </c>
      <c r="K467" s="25">
        <f t="shared" si="131"/>
        <v>0</v>
      </c>
      <c r="L467" s="14">
        <v>0.81</v>
      </c>
      <c r="M467" s="34">
        <f t="shared" si="132"/>
        <v>0</v>
      </c>
      <c r="N467" s="14">
        <v>0.81</v>
      </c>
      <c r="O467" s="34">
        <f t="shared" si="133"/>
        <v>0</v>
      </c>
      <c r="P467" s="14">
        <v>0.81</v>
      </c>
      <c r="Q467" s="25">
        <f t="shared" si="134"/>
        <v>0</v>
      </c>
      <c r="R467" s="14">
        <v>1.103</v>
      </c>
      <c r="S467" s="34">
        <f t="shared" si="135"/>
        <v>0.29299999999999993</v>
      </c>
      <c r="T467" s="14"/>
      <c r="U467" s="14"/>
      <c r="V467" s="14"/>
      <c r="W467" s="14"/>
      <c r="X467" s="14"/>
      <c r="Y467" s="25">
        <f>E467+G467+I467+K467+M467+O467+Q467+S467+U467+W467</f>
        <v>1.103</v>
      </c>
      <c r="Z467" s="26"/>
      <c r="AA467" s="26">
        <f>(Y467/D467)*100</f>
        <v>11.03</v>
      </c>
      <c r="AB467"/>
      <c r="AC467"/>
    </row>
    <row r="468" spans="1:29">
      <c r="B468" s="18" t="s">
        <v>10</v>
      </c>
      <c r="C468" s="19">
        <f>SUM(C457:C467)</f>
        <v>384</v>
      </c>
      <c r="D468" s="19">
        <f>SUM(D457:D467)</f>
        <v>384</v>
      </c>
      <c r="E468" s="20">
        <f>SUM(E457:E467)</f>
        <v>44.811999999999998</v>
      </c>
      <c r="F468" s="20">
        <f t="shared" ref="F468:Y468" si="141">SUM(F457:F467)</f>
        <v>67.704999999999998</v>
      </c>
      <c r="G468" s="20">
        <f t="shared" si="141"/>
        <v>22.893000000000001</v>
      </c>
      <c r="H468" s="20">
        <f t="shared" si="141"/>
        <v>77.903000000000006</v>
      </c>
      <c r="I468" s="20">
        <f t="shared" si="141"/>
        <v>10.197999999999995</v>
      </c>
      <c r="J468" s="20">
        <f t="shared" si="141"/>
        <v>122.04899999999999</v>
      </c>
      <c r="K468" s="20">
        <f t="shared" si="141"/>
        <v>44.146000000000008</v>
      </c>
      <c r="L468" s="20">
        <f t="shared" si="141"/>
        <v>134.62299999999999</v>
      </c>
      <c r="M468" s="20">
        <f t="shared" si="141"/>
        <v>12.574000000000002</v>
      </c>
      <c r="N468" s="20">
        <f t="shared" si="141"/>
        <v>145.56800000000001</v>
      </c>
      <c r="O468" s="20">
        <f t="shared" si="141"/>
        <v>10.944999999999997</v>
      </c>
      <c r="P468" s="20">
        <f t="shared" si="141"/>
        <v>169.94300000000001</v>
      </c>
      <c r="Q468" s="20">
        <f t="shared" si="141"/>
        <v>24.375000000000011</v>
      </c>
      <c r="R468" s="20">
        <f t="shared" si="141"/>
        <v>183.749</v>
      </c>
      <c r="S468" s="20">
        <f t="shared" si="141"/>
        <v>13.805999999999992</v>
      </c>
      <c r="T468" s="20">
        <f t="shared" si="141"/>
        <v>0</v>
      </c>
      <c r="U468" s="20">
        <f t="shared" si="141"/>
        <v>0</v>
      </c>
      <c r="V468" s="20">
        <f t="shared" si="141"/>
        <v>0</v>
      </c>
      <c r="W468" s="20">
        <f t="shared" si="141"/>
        <v>0</v>
      </c>
      <c r="X468" s="20"/>
      <c r="Y468" s="20">
        <f t="shared" si="141"/>
        <v>183.749</v>
      </c>
      <c r="Z468" s="18">
        <f t="shared" si="137"/>
        <v>47.85130208333333</v>
      </c>
      <c r="AA468" s="18">
        <f>(Y468/D468)*100</f>
        <v>47.85130208333333</v>
      </c>
      <c r="AB468"/>
      <c r="AC468"/>
    </row>
    <row r="469" spans="1:29" ht="17.25" customHeight="1">
      <c r="B469" s="4"/>
      <c r="C469" s="5"/>
      <c r="D469" s="5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395"/>
      <c r="AB469"/>
      <c r="AC469"/>
    </row>
    <row r="470" spans="1:29" ht="17.25" customHeight="1">
      <c r="B470" s="4"/>
      <c r="C470" s="5"/>
      <c r="D470" s="5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395"/>
      <c r="AB470"/>
      <c r="AC470"/>
    </row>
    <row r="471" spans="1:29" ht="42" customHeight="1">
      <c r="A471" s="75" t="s">
        <v>313</v>
      </c>
      <c r="B471" s="8" t="s">
        <v>473</v>
      </c>
      <c r="C471" s="507" t="s">
        <v>524</v>
      </c>
      <c r="D471" s="508" t="s">
        <v>315</v>
      </c>
      <c r="E471" s="393" t="s">
        <v>523</v>
      </c>
      <c r="F471" s="393" t="s">
        <v>525</v>
      </c>
      <c r="G471" s="460" t="s">
        <v>534</v>
      </c>
      <c r="H471" s="393" t="s">
        <v>526</v>
      </c>
      <c r="I471" s="460" t="s">
        <v>535</v>
      </c>
      <c r="J471" s="393" t="s">
        <v>527</v>
      </c>
      <c r="K471" s="460" t="s">
        <v>536</v>
      </c>
      <c r="L471" s="393" t="s">
        <v>528</v>
      </c>
      <c r="M471" s="460" t="s">
        <v>537</v>
      </c>
      <c r="N471" s="393" t="s">
        <v>529</v>
      </c>
      <c r="O471" s="460" t="s">
        <v>538</v>
      </c>
      <c r="P471" s="393" t="s">
        <v>530</v>
      </c>
      <c r="Q471" s="460" t="s">
        <v>539</v>
      </c>
      <c r="R471" s="393" t="s">
        <v>531</v>
      </c>
      <c r="S471" s="460" t="s">
        <v>540</v>
      </c>
      <c r="T471" s="393" t="s">
        <v>532</v>
      </c>
      <c r="U471" s="460" t="s">
        <v>541</v>
      </c>
      <c r="V471" s="393" t="s">
        <v>533</v>
      </c>
      <c r="W471" s="460" t="s">
        <v>542</v>
      </c>
      <c r="X471" s="10"/>
      <c r="Y471" s="393" t="s">
        <v>543</v>
      </c>
      <c r="Z471" s="10" t="s">
        <v>309</v>
      </c>
      <c r="AA471" s="396" t="s">
        <v>7</v>
      </c>
      <c r="AB471"/>
      <c r="AC471"/>
    </row>
    <row r="472" spans="1:29">
      <c r="A472" s="75" t="s">
        <v>474</v>
      </c>
      <c r="B472" s="11" t="s">
        <v>410</v>
      </c>
      <c r="C472" s="64">
        <v>400</v>
      </c>
      <c r="D472" s="13">
        <v>604.9</v>
      </c>
      <c r="E472" s="71">
        <v>83.941999999999993</v>
      </c>
      <c r="F472" s="14">
        <v>117.04900000000001</v>
      </c>
      <c r="G472" s="14">
        <f>F472-E472</f>
        <v>33.107000000000014</v>
      </c>
      <c r="H472" s="14">
        <v>146.78700000000001</v>
      </c>
      <c r="I472" s="14">
        <f>H472-F472</f>
        <v>29.738</v>
      </c>
      <c r="J472" s="14">
        <v>174.77600000000001</v>
      </c>
      <c r="K472" s="25">
        <f t="shared" ref="K472:K487" si="142">J472-H472</f>
        <v>27.989000000000004</v>
      </c>
      <c r="L472" s="14">
        <v>209.65600000000001</v>
      </c>
      <c r="M472" s="34">
        <f t="shared" ref="M472:M487" si="143">L472-J472</f>
        <v>34.879999999999995</v>
      </c>
      <c r="N472" s="14">
        <v>239.42</v>
      </c>
      <c r="O472" s="34">
        <f t="shared" ref="O472:O487" si="144">N472-L472</f>
        <v>29.763999999999982</v>
      </c>
      <c r="P472" s="14">
        <v>269.42</v>
      </c>
      <c r="Q472" s="25">
        <f t="shared" ref="Q472:Q487" si="145">P472-N472</f>
        <v>30.000000000000028</v>
      </c>
      <c r="R472" s="14">
        <v>305.48399999999998</v>
      </c>
      <c r="S472" s="34">
        <f t="shared" ref="S472:S487" si="146">R472-P472</f>
        <v>36.063999999999965</v>
      </c>
      <c r="T472" s="14"/>
      <c r="U472" s="14"/>
      <c r="V472" s="14"/>
      <c r="W472" s="14"/>
      <c r="X472" s="14"/>
      <c r="Y472" s="25">
        <f t="shared" ref="Y472:Y486" si="147">E472+G472+I472+K472+M472+O472+Q472+S472+U472+W472</f>
        <v>305.48399999999998</v>
      </c>
      <c r="Z472" s="26">
        <f t="shared" ref="Z472:Z488" si="148">(Y472/C472)*100</f>
        <v>76.370999999999995</v>
      </c>
      <c r="AA472" s="26">
        <f t="shared" ref="AA472:AA486" si="149">(Y472/D472)*100</f>
        <v>50.501570507521897</v>
      </c>
      <c r="AB472"/>
      <c r="AC472"/>
    </row>
    <row r="473" spans="1:29">
      <c r="B473" s="11" t="s">
        <v>326</v>
      </c>
      <c r="C473" s="64">
        <v>126</v>
      </c>
      <c r="D473" s="13">
        <v>190.43</v>
      </c>
      <c r="E473" s="71">
        <v>30.571999999999999</v>
      </c>
      <c r="F473" s="14">
        <v>42.561</v>
      </c>
      <c r="G473" s="14">
        <f t="shared" ref="G473:G487" si="150">F473-E473</f>
        <v>11.989000000000001</v>
      </c>
      <c r="H473" s="14">
        <v>53.356000000000002</v>
      </c>
      <c r="I473" s="14">
        <f t="shared" ref="I473:I487" si="151">H473-F473</f>
        <v>10.795000000000002</v>
      </c>
      <c r="J473" s="14">
        <v>63.511000000000003</v>
      </c>
      <c r="K473" s="25">
        <f t="shared" si="142"/>
        <v>10.155000000000001</v>
      </c>
      <c r="L473" s="14">
        <v>76.12</v>
      </c>
      <c r="M473" s="34">
        <f t="shared" si="143"/>
        <v>12.609000000000002</v>
      </c>
      <c r="N473" s="14">
        <v>86.846999999999994</v>
      </c>
      <c r="O473" s="34">
        <f t="shared" si="144"/>
        <v>10.72699999999999</v>
      </c>
      <c r="P473" s="14">
        <v>97.686999999999998</v>
      </c>
      <c r="Q473" s="25">
        <f t="shared" si="145"/>
        <v>10.840000000000003</v>
      </c>
      <c r="R473" s="14">
        <v>110.72199999999999</v>
      </c>
      <c r="S473" s="34">
        <f t="shared" si="146"/>
        <v>13.034999999999997</v>
      </c>
      <c r="T473" s="14"/>
      <c r="U473" s="14"/>
      <c r="V473" s="14"/>
      <c r="W473" s="14"/>
      <c r="X473" s="14"/>
      <c r="Y473" s="25">
        <f t="shared" si="147"/>
        <v>110.72199999999999</v>
      </c>
      <c r="Z473" s="26">
        <f t="shared" si="148"/>
        <v>87.874603174603166</v>
      </c>
      <c r="AA473" s="26">
        <f t="shared" si="149"/>
        <v>58.143149713805599</v>
      </c>
      <c r="AB473"/>
      <c r="AC473"/>
    </row>
    <row r="474" spans="1:29">
      <c r="A474"/>
      <c r="B474" s="11" t="s">
        <v>327</v>
      </c>
      <c r="C474" s="64">
        <v>54</v>
      </c>
      <c r="D474" s="13">
        <v>81.67</v>
      </c>
      <c r="E474" s="71">
        <v>13.103</v>
      </c>
      <c r="F474" s="14">
        <v>18.242000000000001</v>
      </c>
      <c r="G474" s="14">
        <f t="shared" si="150"/>
        <v>5.1390000000000011</v>
      </c>
      <c r="H474" s="14">
        <v>22.87</v>
      </c>
      <c r="I474" s="14">
        <f t="shared" si="151"/>
        <v>4.6280000000000001</v>
      </c>
      <c r="J474" s="14">
        <v>27.222999999999999</v>
      </c>
      <c r="K474" s="25">
        <f t="shared" si="142"/>
        <v>4.352999999999998</v>
      </c>
      <c r="L474" s="14">
        <v>32.627000000000002</v>
      </c>
      <c r="M474" s="34">
        <f t="shared" si="143"/>
        <v>5.4040000000000035</v>
      </c>
      <c r="N474" s="14">
        <v>37.225000000000001</v>
      </c>
      <c r="O474" s="34">
        <f t="shared" si="144"/>
        <v>4.597999999999999</v>
      </c>
      <c r="P474" s="14">
        <v>41.871000000000002</v>
      </c>
      <c r="Q474" s="25">
        <f t="shared" si="145"/>
        <v>4.6460000000000008</v>
      </c>
      <c r="R474" s="14">
        <v>47.457999999999998</v>
      </c>
      <c r="S474" s="34">
        <f t="shared" si="146"/>
        <v>5.5869999999999962</v>
      </c>
      <c r="T474" s="14"/>
      <c r="U474" s="14"/>
      <c r="V474" s="14"/>
      <c r="W474" s="14"/>
      <c r="X474" s="14"/>
      <c r="Y474" s="25">
        <f t="shared" si="147"/>
        <v>47.457999999999998</v>
      </c>
      <c r="Z474" s="26">
        <f t="shared" si="148"/>
        <v>87.885185185185179</v>
      </c>
      <c r="AA474" s="26">
        <f t="shared" si="149"/>
        <v>58.109464919799194</v>
      </c>
      <c r="AB474"/>
      <c r="AC474"/>
    </row>
    <row r="475" spans="1:29">
      <c r="A475"/>
      <c r="B475" s="11" t="s">
        <v>328</v>
      </c>
      <c r="C475" s="64"/>
      <c r="D475" s="13">
        <v>2</v>
      </c>
      <c r="E475" s="71">
        <v>0.441</v>
      </c>
      <c r="F475" s="14">
        <v>0.874</v>
      </c>
      <c r="G475" s="14">
        <f t="shared" si="150"/>
        <v>0.433</v>
      </c>
      <c r="H475" s="14">
        <v>0.874</v>
      </c>
      <c r="I475" s="14">
        <f t="shared" si="151"/>
        <v>0</v>
      </c>
      <c r="J475" s="14">
        <v>0.874</v>
      </c>
      <c r="K475" s="25">
        <f t="shared" si="142"/>
        <v>0</v>
      </c>
      <c r="L475" s="14">
        <v>1.321</v>
      </c>
      <c r="M475" s="34">
        <f t="shared" si="143"/>
        <v>0.44699999999999995</v>
      </c>
      <c r="N475" s="14">
        <v>1.321</v>
      </c>
      <c r="O475" s="34">
        <f t="shared" si="144"/>
        <v>0</v>
      </c>
      <c r="P475" s="14">
        <v>1.321</v>
      </c>
      <c r="Q475" s="25">
        <f t="shared" si="145"/>
        <v>0</v>
      </c>
      <c r="R475" s="14">
        <v>1.782</v>
      </c>
      <c r="S475" s="34">
        <f t="shared" si="146"/>
        <v>0.46100000000000008</v>
      </c>
      <c r="T475" s="14"/>
      <c r="U475" s="14"/>
      <c r="V475" s="14"/>
      <c r="W475" s="14"/>
      <c r="X475" s="14"/>
      <c r="Y475" s="25">
        <f t="shared" si="147"/>
        <v>1.782</v>
      </c>
      <c r="Z475" s="26"/>
      <c r="AA475" s="26">
        <f t="shared" si="149"/>
        <v>89.1</v>
      </c>
      <c r="AB475"/>
      <c r="AC475"/>
    </row>
    <row r="476" spans="1:29">
      <c r="A476"/>
      <c r="B476" s="11" t="s">
        <v>411</v>
      </c>
      <c r="C476" s="64"/>
      <c r="D476" s="48">
        <v>1</v>
      </c>
      <c r="E476" s="71">
        <v>0.47299999999999998</v>
      </c>
      <c r="F476" s="14">
        <v>0.47299999999999998</v>
      </c>
      <c r="G476" s="14"/>
      <c r="H476" s="14">
        <v>0.47299999999999998</v>
      </c>
      <c r="I476" s="14">
        <f t="shared" si="151"/>
        <v>0</v>
      </c>
      <c r="J476" s="14">
        <v>0.47299999999999998</v>
      </c>
      <c r="K476" s="25">
        <f t="shared" si="142"/>
        <v>0</v>
      </c>
      <c r="L476" s="14">
        <v>0.47299999999999998</v>
      </c>
      <c r="M476" s="34">
        <f t="shared" si="143"/>
        <v>0</v>
      </c>
      <c r="N476" s="14">
        <v>0.47299999999999998</v>
      </c>
      <c r="O476" s="34">
        <f t="shared" si="144"/>
        <v>0</v>
      </c>
      <c r="P476" s="14">
        <v>0.47299999999999998</v>
      </c>
      <c r="Q476" s="25">
        <f t="shared" si="145"/>
        <v>0</v>
      </c>
      <c r="R476" s="14">
        <v>0.47299999999999998</v>
      </c>
      <c r="S476" s="34">
        <f t="shared" si="146"/>
        <v>0</v>
      </c>
      <c r="T476" s="14"/>
      <c r="U476" s="14"/>
      <c r="V476" s="14"/>
      <c r="W476" s="14"/>
      <c r="X476" s="14"/>
      <c r="Y476" s="25">
        <f t="shared" si="147"/>
        <v>0.47299999999999998</v>
      </c>
      <c r="Z476" s="26"/>
      <c r="AA476" s="26">
        <f t="shared" si="149"/>
        <v>47.3</v>
      </c>
      <c r="AB476"/>
      <c r="AC476"/>
    </row>
    <row r="477" spans="1:29">
      <c r="A477"/>
      <c r="B477" s="11" t="s">
        <v>330</v>
      </c>
      <c r="C477" s="64">
        <v>20</v>
      </c>
      <c r="D477" s="13">
        <v>5</v>
      </c>
      <c r="E477" s="71"/>
      <c r="F477" s="14"/>
      <c r="G477" s="14"/>
      <c r="H477" s="14"/>
      <c r="I477" s="14">
        <f t="shared" si="151"/>
        <v>0</v>
      </c>
      <c r="J477" s="14"/>
      <c r="K477" s="25">
        <f t="shared" si="142"/>
        <v>0</v>
      </c>
      <c r="L477" s="14"/>
      <c r="M477" s="34">
        <f t="shared" si="143"/>
        <v>0</v>
      </c>
      <c r="N477" s="14"/>
      <c r="O477" s="34">
        <f t="shared" si="144"/>
        <v>0</v>
      </c>
      <c r="P477" s="14"/>
      <c r="Q477" s="25">
        <f t="shared" si="145"/>
        <v>0</v>
      </c>
      <c r="R477" s="14"/>
      <c r="S477" s="34">
        <f t="shared" si="146"/>
        <v>0</v>
      </c>
      <c r="T477" s="14"/>
      <c r="U477" s="14"/>
      <c r="V477" s="14"/>
      <c r="W477" s="14"/>
      <c r="X477" s="14"/>
      <c r="Y477" s="25">
        <f t="shared" si="147"/>
        <v>0</v>
      </c>
      <c r="Z477" s="26">
        <f t="shared" si="148"/>
        <v>0</v>
      </c>
      <c r="AA477" s="26">
        <f t="shared" si="149"/>
        <v>0</v>
      </c>
      <c r="AB477"/>
      <c r="AC477"/>
    </row>
    <row r="478" spans="1:29">
      <c r="A478"/>
      <c r="B478" s="11" t="s">
        <v>331</v>
      </c>
      <c r="C478" s="64">
        <v>17</v>
      </c>
      <c r="D478" s="13">
        <v>17</v>
      </c>
      <c r="E478" s="71"/>
      <c r="F478" s="14"/>
      <c r="G478" s="14"/>
      <c r="H478" s="14"/>
      <c r="I478" s="14">
        <f t="shared" si="151"/>
        <v>0</v>
      </c>
      <c r="J478" s="14">
        <v>3.657</v>
      </c>
      <c r="K478" s="25">
        <f t="shared" si="142"/>
        <v>3.657</v>
      </c>
      <c r="L478" s="14">
        <v>4.4249999999999998</v>
      </c>
      <c r="M478" s="34">
        <f t="shared" si="143"/>
        <v>0.76799999999999979</v>
      </c>
      <c r="N478" s="14">
        <v>4.4249999999999998</v>
      </c>
      <c r="O478" s="34">
        <f t="shared" si="144"/>
        <v>0</v>
      </c>
      <c r="P478" s="14">
        <v>5.0540000000000003</v>
      </c>
      <c r="Q478" s="25">
        <f t="shared" si="145"/>
        <v>0.62900000000000045</v>
      </c>
      <c r="R478" s="14">
        <v>5.0540000000000003</v>
      </c>
      <c r="S478" s="34">
        <f t="shared" si="146"/>
        <v>0</v>
      </c>
      <c r="T478" s="14"/>
      <c r="U478" s="14"/>
      <c r="V478" s="14"/>
      <c r="W478" s="14"/>
      <c r="X478" s="14"/>
      <c r="Y478" s="25">
        <f t="shared" si="147"/>
        <v>5.0540000000000003</v>
      </c>
      <c r="Z478" s="26">
        <f t="shared" si="148"/>
        <v>29.729411764705883</v>
      </c>
      <c r="AA478" s="26">
        <f t="shared" si="149"/>
        <v>29.729411764705883</v>
      </c>
      <c r="AB478"/>
      <c r="AC478"/>
    </row>
    <row r="479" spans="1:29">
      <c r="A479"/>
      <c r="B479" s="11" t="s">
        <v>345</v>
      </c>
      <c r="C479" s="64">
        <v>12</v>
      </c>
      <c r="D479" s="13">
        <v>12</v>
      </c>
      <c r="E479" s="71">
        <v>2.0655100000000002</v>
      </c>
      <c r="F479" s="14">
        <v>2.6855099999999998</v>
      </c>
      <c r="G479" s="14">
        <f t="shared" si="150"/>
        <v>0.61999999999999966</v>
      </c>
      <c r="H479" s="14">
        <v>3.3055099999999999</v>
      </c>
      <c r="I479" s="14">
        <f t="shared" si="151"/>
        <v>0.62000000000000011</v>
      </c>
      <c r="J479" s="14">
        <v>3.9255100000000001</v>
      </c>
      <c r="K479" s="25">
        <f t="shared" si="142"/>
        <v>0.62000000000000011</v>
      </c>
      <c r="L479" s="14">
        <v>4.5455100000000002</v>
      </c>
      <c r="M479" s="34">
        <f t="shared" si="143"/>
        <v>0.62000000000000011</v>
      </c>
      <c r="N479" s="14">
        <v>5.1655100000000003</v>
      </c>
      <c r="O479" s="34">
        <f t="shared" si="144"/>
        <v>0.62000000000000011</v>
      </c>
      <c r="P479" s="14">
        <v>5.7855100000000004</v>
      </c>
      <c r="Q479" s="25">
        <f t="shared" si="145"/>
        <v>0.62000000000000011</v>
      </c>
      <c r="R479" s="14">
        <v>6.4055099999999996</v>
      </c>
      <c r="S479" s="34">
        <f t="shared" si="146"/>
        <v>0.61999999999999922</v>
      </c>
      <c r="T479" s="14"/>
      <c r="U479" s="14"/>
      <c r="V479" s="14"/>
      <c r="W479" s="14"/>
      <c r="X479" s="14"/>
      <c r="Y479" s="25">
        <f t="shared" si="147"/>
        <v>6.4055099999999996</v>
      </c>
      <c r="Z479" s="26">
        <f t="shared" si="148"/>
        <v>53.379249999999999</v>
      </c>
      <c r="AA479" s="26">
        <f t="shared" si="149"/>
        <v>53.379249999999999</v>
      </c>
      <c r="AB479"/>
      <c r="AC479"/>
    </row>
    <row r="480" spans="1:29">
      <c r="A480"/>
      <c r="B480" s="11" t="s">
        <v>332</v>
      </c>
      <c r="C480" s="64">
        <v>14</v>
      </c>
      <c r="D480" s="13">
        <v>14</v>
      </c>
      <c r="E480" s="71"/>
      <c r="F480" s="14"/>
      <c r="G480" s="14"/>
      <c r="H480" s="14"/>
      <c r="I480" s="14">
        <f t="shared" si="151"/>
        <v>0</v>
      </c>
      <c r="J480" s="14"/>
      <c r="K480" s="25">
        <f t="shared" si="142"/>
        <v>0</v>
      </c>
      <c r="L480" s="14"/>
      <c r="M480" s="34">
        <f t="shared" si="143"/>
        <v>0</v>
      </c>
      <c r="N480" s="14"/>
      <c r="O480" s="34">
        <f t="shared" si="144"/>
        <v>0</v>
      </c>
      <c r="P480" s="14"/>
      <c r="Q480" s="25">
        <f t="shared" si="145"/>
        <v>0</v>
      </c>
      <c r="R480" s="14"/>
      <c r="S480" s="34">
        <f t="shared" si="146"/>
        <v>0</v>
      </c>
      <c r="T480" s="14"/>
      <c r="U480" s="14"/>
      <c r="V480" s="14"/>
      <c r="W480" s="14"/>
      <c r="X480" s="14"/>
      <c r="Y480" s="25">
        <f t="shared" si="147"/>
        <v>0</v>
      </c>
      <c r="Z480" s="26">
        <f t="shared" si="148"/>
        <v>0</v>
      </c>
      <c r="AA480" s="26">
        <f t="shared" si="149"/>
        <v>0</v>
      </c>
      <c r="AB480"/>
      <c r="AC480"/>
    </row>
    <row r="481" spans="1:29">
      <c r="A481"/>
      <c r="B481" s="11" t="s">
        <v>333</v>
      </c>
      <c r="C481" s="64">
        <v>20</v>
      </c>
      <c r="D481" s="23">
        <v>20</v>
      </c>
      <c r="E481" s="71">
        <v>4.9525899999999998</v>
      </c>
      <c r="F481" s="34">
        <v>5.9303600000000003</v>
      </c>
      <c r="G481" s="14">
        <f t="shared" si="150"/>
        <v>0.97777000000000047</v>
      </c>
      <c r="H481" s="34">
        <v>5.9303600000000003</v>
      </c>
      <c r="I481" s="14">
        <f t="shared" si="151"/>
        <v>0</v>
      </c>
      <c r="J481" s="34">
        <v>8.9570399999999992</v>
      </c>
      <c r="K481" s="25">
        <f t="shared" si="142"/>
        <v>3.0266799999999989</v>
      </c>
      <c r="L481" s="34">
        <v>10.53397</v>
      </c>
      <c r="M481" s="34">
        <f t="shared" si="143"/>
        <v>1.5769300000000008</v>
      </c>
      <c r="N481" s="34">
        <v>12.019959999999999</v>
      </c>
      <c r="O481" s="34">
        <f t="shared" si="144"/>
        <v>1.4859899999999993</v>
      </c>
      <c r="P481" s="34">
        <v>13.474880000000001</v>
      </c>
      <c r="Q481" s="25">
        <f t="shared" si="145"/>
        <v>1.4549200000000013</v>
      </c>
      <c r="R481" s="34">
        <v>15.13767</v>
      </c>
      <c r="S481" s="34">
        <f t="shared" si="146"/>
        <v>1.6627899999999993</v>
      </c>
      <c r="T481" s="34"/>
      <c r="U481" s="34"/>
      <c r="V481" s="34"/>
      <c r="W481" s="34"/>
      <c r="X481" s="34"/>
      <c r="Y481" s="25">
        <f t="shared" si="147"/>
        <v>15.13767</v>
      </c>
      <c r="Z481" s="26">
        <f t="shared" si="148"/>
        <v>75.68835</v>
      </c>
      <c r="AA481" s="26">
        <f t="shared" si="149"/>
        <v>75.68835</v>
      </c>
      <c r="AB481"/>
      <c r="AC481"/>
    </row>
    <row r="482" spans="1:29">
      <c r="A482"/>
      <c r="B482" s="11" t="s">
        <v>319</v>
      </c>
      <c r="C482" s="64">
        <v>10</v>
      </c>
      <c r="D482" s="24">
        <v>10</v>
      </c>
      <c r="E482" s="71"/>
      <c r="F482" s="25"/>
      <c r="G482" s="14"/>
      <c r="H482" s="25">
        <v>3.8</v>
      </c>
      <c r="I482" s="14">
        <f t="shared" si="151"/>
        <v>3.8</v>
      </c>
      <c r="J482" s="25">
        <v>4.3</v>
      </c>
      <c r="K482" s="25">
        <f t="shared" si="142"/>
        <v>0.5</v>
      </c>
      <c r="L482" s="25">
        <v>4.3</v>
      </c>
      <c r="M482" s="34">
        <f t="shared" si="143"/>
        <v>0</v>
      </c>
      <c r="N482" s="25">
        <v>4.3</v>
      </c>
      <c r="O482" s="34">
        <f t="shared" si="144"/>
        <v>0</v>
      </c>
      <c r="P482" s="25">
        <v>6.1</v>
      </c>
      <c r="Q482" s="25">
        <f t="shared" si="145"/>
        <v>1.7999999999999998</v>
      </c>
      <c r="R482" s="25">
        <v>6.1</v>
      </c>
      <c r="S482" s="34">
        <f t="shared" si="146"/>
        <v>0</v>
      </c>
      <c r="T482" s="25"/>
      <c r="U482" s="25"/>
      <c r="V482" s="25"/>
      <c r="W482" s="25"/>
      <c r="X482" s="25"/>
      <c r="Y482" s="25">
        <f t="shared" si="147"/>
        <v>6.1</v>
      </c>
      <c r="Z482" s="26">
        <f t="shared" si="148"/>
        <v>61</v>
      </c>
      <c r="AA482" s="26">
        <f t="shared" si="149"/>
        <v>61</v>
      </c>
      <c r="AB482"/>
      <c r="AC482"/>
    </row>
    <row r="483" spans="1:29" ht="25.5">
      <c r="A483"/>
      <c r="B483" s="399" t="s">
        <v>475</v>
      </c>
      <c r="C483" s="65">
        <v>20</v>
      </c>
      <c r="D483" s="23">
        <v>10</v>
      </c>
      <c r="E483" s="71"/>
      <c r="F483" s="34"/>
      <c r="G483" s="14"/>
      <c r="H483" s="34">
        <v>0.9</v>
      </c>
      <c r="I483" s="34">
        <f t="shared" si="151"/>
        <v>0.9</v>
      </c>
      <c r="J483" s="34">
        <v>0.9</v>
      </c>
      <c r="K483" s="25">
        <f t="shared" si="142"/>
        <v>0</v>
      </c>
      <c r="L483" s="34">
        <v>0.9</v>
      </c>
      <c r="M483" s="34">
        <f t="shared" si="143"/>
        <v>0</v>
      </c>
      <c r="N483" s="34">
        <v>0.9</v>
      </c>
      <c r="O483" s="34">
        <f t="shared" si="144"/>
        <v>0</v>
      </c>
      <c r="P483" s="34">
        <v>0.9</v>
      </c>
      <c r="Q483" s="25">
        <f t="shared" si="145"/>
        <v>0</v>
      </c>
      <c r="R483" s="34">
        <v>0.9</v>
      </c>
      <c r="S483" s="34">
        <f t="shared" si="146"/>
        <v>0</v>
      </c>
      <c r="T483" s="34"/>
      <c r="U483" s="34"/>
      <c r="V483" s="34"/>
      <c r="W483" s="34"/>
      <c r="X483" s="34"/>
      <c r="Y483" s="25">
        <f t="shared" si="147"/>
        <v>0.9</v>
      </c>
      <c r="Z483" s="26">
        <f t="shared" si="148"/>
        <v>4.5</v>
      </c>
      <c r="AA483" s="26">
        <f t="shared" si="149"/>
        <v>9</v>
      </c>
      <c r="AB483"/>
      <c r="AC483"/>
    </row>
    <row r="484" spans="1:29">
      <c r="A484"/>
      <c r="B484" s="11" t="s">
        <v>335</v>
      </c>
      <c r="C484" s="64">
        <v>5</v>
      </c>
      <c r="D484" s="13">
        <v>5</v>
      </c>
      <c r="E484" s="71"/>
      <c r="F484" s="14"/>
      <c r="G484" s="14"/>
      <c r="H484" s="14"/>
      <c r="I484" s="14">
        <f t="shared" si="151"/>
        <v>0</v>
      </c>
      <c r="J484" s="14"/>
      <c r="K484" s="25">
        <f t="shared" si="142"/>
        <v>0</v>
      </c>
      <c r="L484" s="14"/>
      <c r="M484" s="34">
        <f t="shared" si="143"/>
        <v>0</v>
      </c>
      <c r="N484" s="14"/>
      <c r="O484" s="34">
        <f t="shared" si="144"/>
        <v>0</v>
      </c>
      <c r="P484" s="14"/>
      <c r="Q484" s="25">
        <f t="shared" si="145"/>
        <v>0</v>
      </c>
      <c r="R484" s="14"/>
      <c r="S484" s="34">
        <f t="shared" si="146"/>
        <v>0</v>
      </c>
      <c r="T484" s="14"/>
      <c r="U484" s="14"/>
      <c r="V484" s="14"/>
      <c r="W484" s="14"/>
      <c r="X484" s="14"/>
      <c r="Y484" s="25">
        <f t="shared" si="147"/>
        <v>0</v>
      </c>
      <c r="Z484" s="26">
        <f t="shared" si="148"/>
        <v>0</v>
      </c>
      <c r="AA484" s="26">
        <f t="shared" si="149"/>
        <v>0</v>
      </c>
      <c r="AB484"/>
      <c r="AC484"/>
    </row>
    <row r="485" spans="1:29">
      <c r="A485"/>
      <c r="B485" s="11" t="s">
        <v>416</v>
      </c>
      <c r="C485" s="64">
        <v>2</v>
      </c>
      <c r="D485" s="13">
        <v>2</v>
      </c>
      <c r="E485" s="71"/>
      <c r="F485" s="14">
        <v>0.17</v>
      </c>
      <c r="G485" s="14">
        <f t="shared" si="150"/>
        <v>0.17</v>
      </c>
      <c r="H485" s="14">
        <v>0.58199999999999996</v>
      </c>
      <c r="I485" s="14">
        <f t="shared" si="151"/>
        <v>0.41199999999999992</v>
      </c>
      <c r="J485" s="14">
        <v>1.0740000000000001</v>
      </c>
      <c r="K485" s="25">
        <f t="shared" si="142"/>
        <v>0.4920000000000001</v>
      </c>
      <c r="L485" s="14">
        <v>1.0740000000000001</v>
      </c>
      <c r="M485" s="34">
        <f t="shared" si="143"/>
        <v>0</v>
      </c>
      <c r="N485" s="14">
        <v>1.0740000000000001</v>
      </c>
      <c r="O485" s="34">
        <f t="shared" si="144"/>
        <v>0</v>
      </c>
      <c r="P485" s="14">
        <v>1.0740000000000001</v>
      </c>
      <c r="Q485" s="25">
        <f t="shared" si="145"/>
        <v>0</v>
      </c>
      <c r="R485" s="14">
        <v>1.244</v>
      </c>
      <c r="S485" s="34">
        <f t="shared" si="146"/>
        <v>0.16999999999999993</v>
      </c>
      <c r="T485" s="14"/>
      <c r="U485" s="14"/>
      <c r="V485" s="14"/>
      <c r="W485" s="14"/>
      <c r="X485" s="14"/>
      <c r="Y485" s="25">
        <f t="shared" si="147"/>
        <v>1.244</v>
      </c>
      <c r="Z485" s="26">
        <f t="shared" si="148"/>
        <v>62.2</v>
      </c>
      <c r="AA485" s="26">
        <f t="shared" si="149"/>
        <v>62.2</v>
      </c>
      <c r="AB485"/>
      <c r="AC485"/>
    </row>
    <row r="486" spans="1:29">
      <c r="A486"/>
      <c r="B486" s="11" t="s">
        <v>476</v>
      </c>
      <c r="C486" s="64"/>
      <c r="D486" s="13">
        <v>2</v>
      </c>
      <c r="E486" s="71">
        <v>2</v>
      </c>
      <c r="F486" s="14">
        <v>2</v>
      </c>
      <c r="G486" s="14">
        <f t="shared" si="150"/>
        <v>0</v>
      </c>
      <c r="H486" s="14">
        <v>2</v>
      </c>
      <c r="I486" s="14">
        <f t="shared" si="151"/>
        <v>0</v>
      </c>
      <c r="J486" s="14">
        <v>2</v>
      </c>
      <c r="K486" s="25">
        <f t="shared" si="142"/>
        <v>0</v>
      </c>
      <c r="L486" s="14">
        <v>2</v>
      </c>
      <c r="M486" s="34">
        <f t="shared" si="143"/>
        <v>0</v>
      </c>
      <c r="N486" s="14">
        <v>2</v>
      </c>
      <c r="O486" s="34">
        <f t="shared" si="144"/>
        <v>0</v>
      </c>
      <c r="P486" s="14">
        <v>2</v>
      </c>
      <c r="Q486" s="25">
        <f t="shared" si="145"/>
        <v>0</v>
      </c>
      <c r="R486" s="14">
        <v>2</v>
      </c>
      <c r="S486" s="34">
        <f t="shared" si="146"/>
        <v>0</v>
      </c>
      <c r="T486" s="14"/>
      <c r="U486" s="14"/>
      <c r="V486" s="14"/>
      <c r="W486" s="14"/>
      <c r="X486" s="14"/>
      <c r="Y486" s="25">
        <f t="shared" si="147"/>
        <v>2</v>
      </c>
      <c r="Z486" s="26"/>
      <c r="AA486" s="26">
        <f t="shared" si="149"/>
        <v>100</v>
      </c>
      <c r="AB486"/>
      <c r="AC486"/>
    </row>
    <row r="487" spans="1:29">
      <c r="A487"/>
      <c r="B487" s="11" t="s">
        <v>338</v>
      </c>
      <c r="C487" s="64"/>
      <c r="D487" s="13">
        <v>20</v>
      </c>
      <c r="E487" s="71">
        <v>3.0249999999999999</v>
      </c>
      <c r="F487" s="14">
        <v>3.9750000000000001</v>
      </c>
      <c r="G487" s="14">
        <f t="shared" si="150"/>
        <v>0.95000000000000018</v>
      </c>
      <c r="H487" s="14">
        <v>6.9249999999999998</v>
      </c>
      <c r="I487" s="14">
        <f t="shared" si="151"/>
        <v>2.9499999999999997</v>
      </c>
      <c r="J487" s="14">
        <v>7.8</v>
      </c>
      <c r="K487" s="25">
        <f t="shared" si="142"/>
        <v>0.875</v>
      </c>
      <c r="L487" s="14">
        <v>8.7249999999999996</v>
      </c>
      <c r="M487" s="34">
        <f t="shared" si="143"/>
        <v>0.92499999999999982</v>
      </c>
      <c r="N487" s="14">
        <v>9.4</v>
      </c>
      <c r="O487" s="34">
        <f t="shared" si="144"/>
        <v>0.67500000000000071</v>
      </c>
      <c r="P487" s="14">
        <v>12.175000000000001</v>
      </c>
      <c r="Q487" s="25">
        <f t="shared" si="145"/>
        <v>2.7750000000000004</v>
      </c>
      <c r="R487" s="14">
        <v>13.125</v>
      </c>
      <c r="S487" s="34">
        <f t="shared" si="146"/>
        <v>0.94999999999999929</v>
      </c>
      <c r="T487" s="14"/>
      <c r="U487" s="14"/>
      <c r="V487" s="14"/>
      <c r="W487" s="14"/>
      <c r="X487" s="14"/>
      <c r="Y487" s="25">
        <f>E487+G487+I487+K487+M487+O487+Q487+S487+U487+W487</f>
        <v>13.125</v>
      </c>
      <c r="Z487" s="26"/>
      <c r="AA487" s="26">
        <f>(Y487/D487)*100</f>
        <v>65.625</v>
      </c>
      <c r="AB487"/>
      <c r="AC487"/>
    </row>
    <row r="488" spans="1:29">
      <c r="A488"/>
      <c r="B488" s="18" t="s">
        <v>10</v>
      </c>
      <c r="C488" s="19">
        <f>SUM(C472:C487)</f>
        <v>700</v>
      </c>
      <c r="D488" s="19">
        <f>SUM(D472:D487)</f>
        <v>996.99999999999989</v>
      </c>
      <c r="E488" s="20">
        <f>SUM(E472:E487)</f>
        <v>140.57409999999999</v>
      </c>
      <c r="F488" s="20">
        <f t="shared" ref="F488:Y488" si="152">SUM(F472:F487)</f>
        <v>193.95987</v>
      </c>
      <c r="G488" s="20">
        <f t="shared" si="152"/>
        <v>53.385770000000022</v>
      </c>
      <c r="H488" s="20">
        <f t="shared" si="152"/>
        <v>247.80287000000004</v>
      </c>
      <c r="I488" s="20">
        <f t="shared" si="152"/>
        <v>53.842999999999996</v>
      </c>
      <c r="J488" s="20">
        <f t="shared" si="152"/>
        <v>299.47055</v>
      </c>
      <c r="K488" s="20">
        <f t="shared" si="152"/>
        <v>51.66767999999999</v>
      </c>
      <c r="L488" s="20">
        <f t="shared" si="152"/>
        <v>356.70048000000008</v>
      </c>
      <c r="M488" s="20">
        <f t="shared" si="152"/>
        <v>57.229929999999996</v>
      </c>
      <c r="N488" s="20">
        <f t="shared" si="152"/>
        <v>404.57047000000006</v>
      </c>
      <c r="O488" s="20">
        <f t="shared" si="152"/>
        <v>47.869989999999973</v>
      </c>
      <c r="P488" s="20">
        <f t="shared" si="152"/>
        <v>457.33539000000002</v>
      </c>
      <c r="Q488" s="20">
        <f t="shared" si="152"/>
        <v>52.764920000000025</v>
      </c>
      <c r="R488" s="20">
        <f t="shared" si="152"/>
        <v>515.88517999999999</v>
      </c>
      <c r="S488" s="20">
        <f t="shared" si="152"/>
        <v>58.549789999999959</v>
      </c>
      <c r="T488" s="20">
        <f t="shared" si="152"/>
        <v>0</v>
      </c>
      <c r="U488" s="20">
        <f t="shared" si="152"/>
        <v>0</v>
      </c>
      <c r="V488" s="20">
        <f t="shared" si="152"/>
        <v>0</v>
      </c>
      <c r="W488" s="20">
        <f t="shared" si="152"/>
        <v>0</v>
      </c>
      <c r="X488" s="20"/>
      <c r="Y488" s="20">
        <f t="shared" si="152"/>
        <v>515.88517999999999</v>
      </c>
      <c r="Z488" s="18">
        <f t="shared" si="148"/>
        <v>73.697882857142858</v>
      </c>
      <c r="AA488" s="18">
        <f>(Y488/D488)*100</f>
        <v>51.743749247743231</v>
      </c>
      <c r="AB488"/>
      <c r="AC488"/>
    </row>
    <row r="489" spans="1:29" ht="17.25" customHeight="1">
      <c r="A489"/>
      <c r="B489" s="4"/>
      <c r="C489" s="5"/>
      <c r="D489" s="5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395"/>
      <c r="AB489"/>
      <c r="AC489"/>
    </row>
    <row r="490" spans="1:29" ht="17.25" customHeight="1">
      <c r="B490" s="4"/>
      <c r="C490" s="5"/>
      <c r="D490" s="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395"/>
      <c r="AB490"/>
      <c r="AC490"/>
    </row>
    <row r="491" spans="1:29" ht="40.5" customHeight="1">
      <c r="A491" s="75" t="s">
        <v>313</v>
      </c>
      <c r="B491" s="8" t="s">
        <v>480</v>
      </c>
      <c r="C491" s="507" t="s">
        <v>524</v>
      </c>
      <c r="D491" s="508" t="s">
        <v>315</v>
      </c>
      <c r="E491" s="393" t="s">
        <v>523</v>
      </c>
      <c r="F491" s="393" t="s">
        <v>525</v>
      </c>
      <c r="G491" s="460" t="s">
        <v>534</v>
      </c>
      <c r="H491" s="393" t="s">
        <v>526</v>
      </c>
      <c r="I491" s="460" t="s">
        <v>535</v>
      </c>
      <c r="J491" s="393" t="s">
        <v>527</v>
      </c>
      <c r="K491" s="460" t="s">
        <v>536</v>
      </c>
      <c r="L491" s="393" t="s">
        <v>528</v>
      </c>
      <c r="M491" s="460" t="s">
        <v>537</v>
      </c>
      <c r="N491" s="393" t="s">
        <v>529</v>
      </c>
      <c r="O491" s="460" t="s">
        <v>538</v>
      </c>
      <c r="P491" s="393" t="s">
        <v>530</v>
      </c>
      <c r="Q491" s="460" t="s">
        <v>539</v>
      </c>
      <c r="R491" s="393" t="s">
        <v>531</v>
      </c>
      <c r="S491" s="460" t="s">
        <v>540</v>
      </c>
      <c r="T491" s="393" t="s">
        <v>532</v>
      </c>
      <c r="U491" s="460" t="s">
        <v>541</v>
      </c>
      <c r="V491" s="393" t="s">
        <v>533</v>
      </c>
      <c r="W491" s="460" t="s">
        <v>542</v>
      </c>
      <c r="X491" s="10"/>
      <c r="Y491" s="393" t="s">
        <v>543</v>
      </c>
      <c r="Z491" s="10" t="s">
        <v>309</v>
      </c>
      <c r="AA491" s="396" t="s">
        <v>7</v>
      </c>
      <c r="AB491"/>
      <c r="AC491"/>
    </row>
    <row r="492" spans="1:29">
      <c r="A492" s="81" t="s">
        <v>556</v>
      </c>
      <c r="B492" s="11" t="s">
        <v>319</v>
      </c>
      <c r="C492" s="31">
        <v>9</v>
      </c>
      <c r="D492" s="31">
        <v>9</v>
      </c>
      <c r="E492" s="14">
        <v>0.30951000000000001</v>
      </c>
      <c r="F492" s="14">
        <v>0.57116</v>
      </c>
      <c r="G492" s="14">
        <f>F492-E492</f>
        <v>0.26164999999999999</v>
      </c>
      <c r="H492" s="14">
        <v>1.16679</v>
      </c>
      <c r="I492" s="14">
        <f>H492-F492</f>
        <v>0.59562999999999999</v>
      </c>
      <c r="J492" s="14">
        <v>1.4145399999999999</v>
      </c>
      <c r="K492" s="25">
        <f>J492-H492</f>
        <v>0.24774999999999991</v>
      </c>
      <c r="L492" s="14">
        <v>1.61619</v>
      </c>
      <c r="M492" s="34">
        <f>L492-J492</f>
        <v>0.20165000000000011</v>
      </c>
      <c r="N492" s="14">
        <v>1.61619</v>
      </c>
      <c r="O492" s="34">
        <f>N492-L492</f>
        <v>0</v>
      </c>
      <c r="P492" s="14">
        <v>1.88687</v>
      </c>
      <c r="Q492" s="25">
        <f>P492-N492</f>
        <v>0.27068000000000003</v>
      </c>
      <c r="R492" s="14">
        <v>2.2128999999999999</v>
      </c>
      <c r="S492" s="34">
        <f>R492-P492</f>
        <v>0.32602999999999982</v>
      </c>
      <c r="T492" s="14"/>
      <c r="U492" s="14"/>
      <c r="V492" s="14"/>
      <c r="W492" s="14"/>
      <c r="X492" s="14"/>
      <c r="Y492" s="25">
        <f>E492+G492+I492+K492+M492+O492+Q492+S492+U492+W492</f>
        <v>2.2128999999999999</v>
      </c>
      <c r="Z492" s="26">
        <f>(Y492/C492)*100</f>
        <v>24.587777777777774</v>
      </c>
      <c r="AA492" s="26">
        <f>(Y492/D492)*100</f>
        <v>24.587777777777774</v>
      </c>
      <c r="AB492"/>
      <c r="AC492"/>
    </row>
    <row r="493" spans="1:29">
      <c r="A493" s="484"/>
      <c r="B493" s="11" t="s">
        <v>333</v>
      </c>
      <c r="C493" s="31">
        <v>4</v>
      </c>
      <c r="D493" s="31">
        <v>4</v>
      </c>
      <c r="E493" s="480">
        <v>0</v>
      </c>
      <c r="F493" s="14"/>
      <c r="G493" s="14"/>
      <c r="H493" s="14"/>
      <c r="I493" s="14">
        <f>H493-F493</f>
        <v>0</v>
      </c>
      <c r="J493" s="14"/>
      <c r="K493" s="25">
        <f>J493-H493</f>
        <v>0</v>
      </c>
      <c r="L493" s="14"/>
      <c r="M493" s="34">
        <f>L493-J493</f>
        <v>0</v>
      </c>
      <c r="N493" s="14"/>
      <c r="O493" s="34">
        <f>N493-L493</f>
        <v>0</v>
      </c>
      <c r="P493" s="14"/>
      <c r="Q493" s="25">
        <f>P493-N493</f>
        <v>0</v>
      </c>
      <c r="R493" s="14"/>
      <c r="S493" s="34">
        <f>R493-P493</f>
        <v>0</v>
      </c>
      <c r="T493" s="14"/>
      <c r="U493" s="14"/>
      <c r="V493" s="14"/>
      <c r="W493" s="14"/>
      <c r="X493" s="14"/>
      <c r="Y493" s="25">
        <f>E493+G493+I493+K493+M493+O493+Q493+S493+U493+W493</f>
        <v>0</v>
      </c>
      <c r="Z493" s="26">
        <f>(Y493/C493)*100</f>
        <v>0</v>
      </c>
      <c r="AA493" s="26">
        <f>(Y493/D493)*100</f>
        <v>0</v>
      </c>
      <c r="AB493"/>
      <c r="AC493"/>
    </row>
    <row r="494" spans="1:29">
      <c r="B494" s="11" t="s">
        <v>482</v>
      </c>
      <c r="C494" s="31">
        <v>3.5</v>
      </c>
      <c r="D494" s="31">
        <v>3.5</v>
      </c>
      <c r="E494" s="480">
        <v>0</v>
      </c>
      <c r="F494" s="14"/>
      <c r="G494" s="14"/>
      <c r="H494" s="14"/>
      <c r="I494" s="14">
        <f>H494-F494</f>
        <v>0</v>
      </c>
      <c r="J494" s="14"/>
      <c r="K494" s="25">
        <f>J494-H494</f>
        <v>0</v>
      </c>
      <c r="L494" s="14"/>
      <c r="M494" s="34">
        <f>L494-J494</f>
        <v>0</v>
      </c>
      <c r="N494" s="14"/>
      <c r="O494" s="34">
        <f>N494-L494</f>
        <v>0</v>
      </c>
      <c r="P494" s="14"/>
      <c r="Q494" s="25">
        <f>P494-N494</f>
        <v>0</v>
      </c>
      <c r="R494" s="14"/>
      <c r="S494" s="34">
        <f>R494-P494</f>
        <v>0</v>
      </c>
      <c r="T494" s="14"/>
      <c r="U494" s="14"/>
      <c r="V494" s="14"/>
      <c r="W494" s="14"/>
      <c r="X494" s="14"/>
      <c r="Y494" s="25">
        <f>E494+G494+I494+K494+M494+O494+Q494+S494+U494+W494</f>
        <v>0</v>
      </c>
      <c r="Z494" s="26">
        <f>(Y494/C494)*100</f>
        <v>0</v>
      </c>
      <c r="AA494" s="26">
        <f>(Y494/D494)*100</f>
        <v>0</v>
      </c>
      <c r="AB494"/>
      <c r="AC494"/>
    </row>
    <row r="495" spans="1:29">
      <c r="B495" s="18" t="s">
        <v>10</v>
      </c>
      <c r="C495" s="19">
        <f>SUM(C492:C494)</f>
        <v>16.5</v>
      </c>
      <c r="D495" s="19">
        <f>SUM(D492:D494)</f>
        <v>16.5</v>
      </c>
      <c r="E495" s="20">
        <f>SUM(E492:E494)</f>
        <v>0.30951000000000001</v>
      </c>
      <c r="F495" s="20">
        <f t="shared" ref="F495:Y495" si="153">SUM(F492:F494)</f>
        <v>0.57116</v>
      </c>
      <c r="G495" s="20">
        <f t="shared" si="153"/>
        <v>0.26164999999999999</v>
      </c>
      <c r="H495" s="20">
        <f t="shared" si="153"/>
        <v>1.16679</v>
      </c>
      <c r="I495" s="20">
        <f t="shared" si="153"/>
        <v>0.59562999999999999</v>
      </c>
      <c r="J495" s="20">
        <f t="shared" si="153"/>
        <v>1.4145399999999999</v>
      </c>
      <c r="K495" s="20">
        <f t="shared" si="153"/>
        <v>0.24774999999999991</v>
      </c>
      <c r="L495" s="20">
        <f t="shared" si="153"/>
        <v>1.61619</v>
      </c>
      <c r="M495" s="20">
        <f t="shared" si="153"/>
        <v>0.20165000000000011</v>
      </c>
      <c r="N495" s="20">
        <f t="shared" si="153"/>
        <v>1.61619</v>
      </c>
      <c r="O495" s="20">
        <f t="shared" si="153"/>
        <v>0</v>
      </c>
      <c r="P495" s="20">
        <f t="shared" si="153"/>
        <v>1.88687</v>
      </c>
      <c r="Q495" s="20">
        <f t="shared" si="153"/>
        <v>0.27068000000000003</v>
      </c>
      <c r="R495" s="20">
        <f t="shared" si="153"/>
        <v>2.2128999999999999</v>
      </c>
      <c r="S495" s="20">
        <f t="shared" si="153"/>
        <v>0.32602999999999982</v>
      </c>
      <c r="T495" s="20">
        <f t="shared" si="153"/>
        <v>0</v>
      </c>
      <c r="U495" s="20">
        <f t="shared" si="153"/>
        <v>0</v>
      </c>
      <c r="V495" s="20">
        <f t="shared" si="153"/>
        <v>0</v>
      </c>
      <c r="W495" s="20">
        <f t="shared" si="153"/>
        <v>0</v>
      </c>
      <c r="X495" s="20"/>
      <c r="Y495" s="20">
        <f t="shared" si="153"/>
        <v>2.2128999999999999</v>
      </c>
      <c r="Z495" s="18">
        <f>(Y495/C495)*100</f>
        <v>13.411515151515152</v>
      </c>
      <c r="AA495" s="18">
        <f>(Y495/D495)*100</f>
        <v>13.411515151515152</v>
      </c>
      <c r="AB495"/>
      <c r="AC495"/>
    </row>
    <row r="496" spans="1:29" ht="17.25" customHeight="1">
      <c r="B496" s="4"/>
      <c r="C496" s="5"/>
      <c r="D496" s="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395"/>
      <c r="AB496"/>
      <c r="AC496"/>
    </row>
    <row r="497" spans="1:29" ht="17.25" customHeight="1">
      <c r="B497" s="4"/>
      <c r="C497" s="5"/>
      <c r="D497" s="5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395"/>
      <c r="AB497"/>
      <c r="AC497"/>
    </row>
    <row r="498" spans="1:29" ht="40.5" customHeight="1">
      <c r="A498" s="75" t="s">
        <v>313</v>
      </c>
      <c r="B498" s="488" t="s">
        <v>651</v>
      </c>
      <c r="C498" s="507" t="s">
        <v>524</v>
      </c>
      <c r="D498" s="508" t="s">
        <v>315</v>
      </c>
      <c r="E498" s="393" t="s">
        <v>523</v>
      </c>
      <c r="F498" s="393" t="s">
        <v>525</v>
      </c>
      <c r="G498" s="460" t="s">
        <v>534</v>
      </c>
      <c r="H498" s="393" t="s">
        <v>526</v>
      </c>
      <c r="I498" s="460" t="s">
        <v>535</v>
      </c>
      <c r="J498" s="393" t="s">
        <v>527</v>
      </c>
      <c r="K498" s="460" t="s">
        <v>536</v>
      </c>
      <c r="L498" s="393" t="s">
        <v>528</v>
      </c>
      <c r="M498" s="460" t="s">
        <v>537</v>
      </c>
      <c r="N498" s="393" t="s">
        <v>529</v>
      </c>
      <c r="O498" s="460" t="s">
        <v>538</v>
      </c>
      <c r="P498" s="393" t="s">
        <v>530</v>
      </c>
      <c r="Q498" s="460" t="s">
        <v>539</v>
      </c>
      <c r="R498" s="393" t="s">
        <v>531</v>
      </c>
      <c r="S498" s="460" t="s">
        <v>540</v>
      </c>
      <c r="T498" s="393" t="s">
        <v>532</v>
      </c>
      <c r="U498" s="460" t="s">
        <v>541</v>
      </c>
      <c r="V498" s="393" t="s">
        <v>533</v>
      </c>
      <c r="W498" s="460" t="s">
        <v>542</v>
      </c>
      <c r="X498" s="10"/>
      <c r="Y498" s="393" t="s">
        <v>543</v>
      </c>
      <c r="Z498" s="10" t="s">
        <v>309</v>
      </c>
      <c r="AA498" s="396" t="s">
        <v>7</v>
      </c>
      <c r="AB498"/>
      <c r="AC498"/>
    </row>
    <row r="499" spans="1:29">
      <c r="A499" s="81" t="s">
        <v>653</v>
      </c>
      <c r="B499" s="17" t="s">
        <v>464</v>
      </c>
      <c r="C499" s="31"/>
      <c r="D499" s="31">
        <v>40</v>
      </c>
      <c r="E499" s="14"/>
      <c r="F499" s="14"/>
      <c r="G499" s="14"/>
      <c r="H499" s="14"/>
      <c r="I499" s="14"/>
      <c r="J499" s="14"/>
      <c r="K499" s="25"/>
      <c r="L499" s="14"/>
      <c r="M499" s="34"/>
      <c r="N499" s="14">
        <v>16.864000000000001</v>
      </c>
      <c r="O499" s="34">
        <f>N499-L499</f>
        <v>16.864000000000001</v>
      </c>
      <c r="P499" s="14">
        <v>16.864000000000001</v>
      </c>
      <c r="Q499" s="25">
        <f>P499-N499</f>
        <v>0</v>
      </c>
      <c r="R499" s="14">
        <v>16.864000000000001</v>
      </c>
      <c r="S499" s="34">
        <f>R499-P499</f>
        <v>0</v>
      </c>
      <c r="T499" s="14"/>
      <c r="U499" s="14"/>
      <c r="V499" s="14"/>
      <c r="W499" s="14"/>
      <c r="X499" s="14"/>
      <c r="Y499" s="25">
        <f>E499+G499+I499+K499+M499+O499+Q499+S499+U499+W499</f>
        <v>16.864000000000001</v>
      </c>
      <c r="Z499" s="26"/>
      <c r="AA499" s="26">
        <f>(Y499/D499)*100</f>
        <v>42.160000000000004</v>
      </c>
      <c r="AB499"/>
      <c r="AC499"/>
    </row>
    <row r="500" spans="1:29">
      <c r="B500" s="18" t="s">
        <v>10</v>
      </c>
      <c r="C500" s="19">
        <f t="shared" ref="C500:W500" si="154">SUM(C499:C499)</f>
        <v>0</v>
      </c>
      <c r="D500" s="19">
        <f t="shared" si="154"/>
        <v>40</v>
      </c>
      <c r="E500" s="20">
        <f t="shared" si="154"/>
        <v>0</v>
      </c>
      <c r="F500" s="20">
        <f t="shared" si="154"/>
        <v>0</v>
      </c>
      <c r="G500" s="20">
        <f t="shared" si="154"/>
        <v>0</v>
      </c>
      <c r="H500" s="20">
        <f t="shared" si="154"/>
        <v>0</v>
      </c>
      <c r="I500" s="20">
        <f t="shared" si="154"/>
        <v>0</v>
      </c>
      <c r="J500" s="20">
        <f t="shared" si="154"/>
        <v>0</v>
      </c>
      <c r="K500" s="20">
        <f t="shared" si="154"/>
        <v>0</v>
      </c>
      <c r="L500" s="20">
        <f t="shared" si="154"/>
        <v>0</v>
      </c>
      <c r="M500" s="20">
        <f t="shared" si="154"/>
        <v>0</v>
      </c>
      <c r="N500" s="20">
        <f t="shared" si="154"/>
        <v>16.864000000000001</v>
      </c>
      <c r="O500" s="20">
        <f t="shared" si="154"/>
        <v>16.864000000000001</v>
      </c>
      <c r="P500" s="20">
        <f t="shared" si="154"/>
        <v>16.864000000000001</v>
      </c>
      <c r="Q500" s="20">
        <f t="shared" si="154"/>
        <v>0</v>
      </c>
      <c r="R500" s="20">
        <f t="shared" si="154"/>
        <v>16.864000000000001</v>
      </c>
      <c r="S500" s="20">
        <f t="shared" si="154"/>
        <v>0</v>
      </c>
      <c r="T500" s="20">
        <f t="shared" si="154"/>
        <v>0</v>
      </c>
      <c r="U500" s="20">
        <f t="shared" si="154"/>
        <v>0</v>
      </c>
      <c r="V500" s="20">
        <f t="shared" si="154"/>
        <v>0</v>
      </c>
      <c r="W500" s="20">
        <f t="shared" si="154"/>
        <v>0</v>
      </c>
      <c r="X500" s="20"/>
      <c r="Y500" s="20">
        <f>SUM(Y499:Y499)</f>
        <v>16.864000000000001</v>
      </c>
      <c r="Z500" s="18"/>
      <c r="AA500" s="18">
        <f>(Y500/D500)*100</f>
        <v>42.160000000000004</v>
      </c>
      <c r="AB500"/>
      <c r="AC500"/>
    </row>
    <row r="501" spans="1:29" ht="17.25" customHeight="1">
      <c r="B501" s="4"/>
      <c r="C501" s="5"/>
      <c r="D501" s="5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395"/>
      <c r="AB501"/>
      <c r="AC501"/>
    </row>
    <row r="502" spans="1:29" ht="17.25" customHeight="1">
      <c r="B502" s="4"/>
      <c r="C502" s="5"/>
      <c r="D502" s="5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395"/>
      <c r="AB502"/>
      <c r="AC502"/>
    </row>
    <row r="503" spans="1:29" ht="37.5" customHeight="1">
      <c r="B503" s="8" t="s">
        <v>312</v>
      </c>
      <c r="C503" s="507" t="s">
        <v>524</v>
      </c>
      <c r="D503" s="508" t="s">
        <v>315</v>
      </c>
      <c r="E503" s="393" t="s">
        <v>523</v>
      </c>
      <c r="F503" s="393" t="s">
        <v>525</v>
      </c>
      <c r="G503" s="460" t="s">
        <v>534</v>
      </c>
      <c r="H503" s="393" t="s">
        <v>526</v>
      </c>
      <c r="I503" s="460" t="s">
        <v>535</v>
      </c>
      <c r="J503" s="393" t="s">
        <v>527</v>
      </c>
      <c r="K503" s="460" t="s">
        <v>536</v>
      </c>
      <c r="L503" s="393" t="s">
        <v>528</v>
      </c>
      <c r="M503" s="460" t="s">
        <v>537</v>
      </c>
      <c r="N503" s="393" t="s">
        <v>529</v>
      </c>
      <c r="O503" s="460" t="s">
        <v>538</v>
      </c>
      <c r="P503" s="393" t="s">
        <v>530</v>
      </c>
      <c r="Q503" s="460" t="s">
        <v>539</v>
      </c>
      <c r="R503" s="393" t="s">
        <v>531</v>
      </c>
      <c r="S503" s="460" t="s">
        <v>540</v>
      </c>
      <c r="T503" s="393" t="s">
        <v>532</v>
      </c>
      <c r="U503" s="460" t="s">
        <v>541</v>
      </c>
      <c r="V503" s="393" t="s">
        <v>533</v>
      </c>
      <c r="W503" s="460" t="s">
        <v>542</v>
      </c>
      <c r="X503" s="10"/>
      <c r="Y503" s="393" t="s">
        <v>543</v>
      </c>
      <c r="Z503" s="10" t="s">
        <v>309</v>
      </c>
      <c r="AA503" s="396" t="s">
        <v>7</v>
      </c>
      <c r="AB503"/>
      <c r="AC503"/>
    </row>
    <row r="504" spans="1:29">
      <c r="A504" s="75" t="s">
        <v>313</v>
      </c>
      <c r="B504" s="73" t="s">
        <v>30</v>
      </c>
      <c r="C504" s="117"/>
      <c r="D504" s="117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07"/>
      <c r="AB504"/>
      <c r="AC504"/>
    </row>
    <row r="505" spans="1:29">
      <c r="A505" s="75" t="s">
        <v>483</v>
      </c>
      <c r="B505" s="11" t="s">
        <v>329</v>
      </c>
      <c r="C505" s="31">
        <v>70</v>
      </c>
      <c r="D505" s="23">
        <v>36</v>
      </c>
      <c r="E505" s="34"/>
      <c r="F505" s="34"/>
      <c r="G505" s="34"/>
      <c r="H505" s="34"/>
      <c r="I505" s="34">
        <f>H505-F505</f>
        <v>0</v>
      </c>
      <c r="J505" s="34"/>
      <c r="K505" s="25">
        <f t="shared" ref="K505:K518" si="155">J505-H505</f>
        <v>0</v>
      </c>
      <c r="L505" s="34"/>
      <c r="M505" s="34">
        <f t="shared" ref="M505:M519" si="156">L505-J505</f>
        <v>0</v>
      </c>
      <c r="N505" s="34"/>
      <c r="O505" s="34">
        <f t="shared" ref="O505:O519" si="157">N505-L505</f>
        <v>0</v>
      </c>
      <c r="P505" s="34"/>
      <c r="Q505" s="25">
        <f t="shared" ref="Q505:Q519" si="158">P505-N505</f>
        <v>0</v>
      </c>
      <c r="R505" s="34"/>
      <c r="S505" s="34">
        <f t="shared" ref="S505:S519" si="159">R505-P505</f>
        <v>0</v>
      </c>
      <c r="T505" s="34"/>
      <c r="U505" s="34"/>
      <c r="V505" s="34"/>
      <c r="W505" s="34"/>
      <c r="X505" s="34"/>
      <c r="Y505" s="25">
        <f t="shared" ref="Y505:Y519" si="160">E505+G505+I505+K505+M505+O505+Q505+S505+U505+W505</f>
        <v>0</v>
      </c>
      <c r="Z505" s="26">
        <f t="shared" ref="Z505:Z520" si="161">(Y505/C505)*100</f>
        <v>0</v>
      </c>
      <c r="AA505" s="26">
        <f t="shared" ref="AA505:AA519" si="162">(Y505/D505)*100</f>
        <v>0</v>
      </c>
      <c r="AB505"/>
      <c r="AC505"/>
    </row>
    <row r="506" spans="1:29">
      <c r="B506" s="11" t="s">
        <v>330</v>
      </c>
      <c r="C506" s="31">
        <v>25</v>
      </c>
      <c r="D506" s="23">
        <v>80</v>
      </c>
      <c r="E506" s="34">
        <v>37.617899999999999</v>
      </c>
      <c r="F506" s="34">
        <v>69.995900000000006</v>
      </c>
      <c r="G506" s="34">
        <f t="shared" ref="G506:G518" si="163">F506-E506</f>
        <v>32.378000000000007</v>
      </c>
      <c r="H506" s="34">
        <v>69.995900000000006</v>
      </c>
      <c r="I506" s="34">
        <f t="shared" ref="I506:I518" si="164">H506-F506</f>
        <v>0</v>
      </c>
      <c r="J506" s="34">
        <v>69.995900000000006</v>
      </c>
      <c r="K506" s="25">
        <f t="shared" si="155"/>
        <v>0</v>
      </c>
      <c r="L506" s="34">
        <v>69.995900000000006</v>
      </c>
      <c r="M506" s="34">
        <f t="shared" si="156"/>
        <v>0</v>
      </c>
      <c r="N506" s="34">
        <v>69.995900000000006</v>
      </c>
      <c r="O506" s="34">
        <f t="shared" si="157"/>
        <v>0</v>
      </c>
      <c r="P506" s="34">
        <v>69.995900000000006</v>
      </c>
      <c r="Q506" s="25">
        <f t="shared" si="158"/>
        <v>0</v>
      </c>
      <c r="R506" s="34">
        <v>75.515900000000002</v>
      </c>
      <c r="S506" s="34">
        <f t="shared" si="159"/>
        <v>5.519999999999996</v>
      </c>
      <c r="T506" s="34"/>
      <c r="U506" s="34"/>
      <c r="V506" s="34"/>
      <c r="W506" s="34"/>
      <c r="X506" s="34"/>
      <c r="Y506" s="25">
        <f t="shared" si="160"/>
        <v>75.515900000000002</v>
      </c>
      <c r="Z506" s="26">
        <f t="shared" si="161"/>
        <v>302.06360000000001</v>
      </c>
      <c r="AA506" s="26">
        <f t="shared" si="162"/>
        <v>94.394874999999999</v>
      </c>
      <c r="AB506"/>
      <c r="AC506"/>
    </row>
    <row r="507" spans="1:29">
      <c r="B507" s="11" t="s">
        <v>331</v>
      </c>
      <c r="C507" s="31"/>
      <c r="D507" s="23">
        <v>108.85</v>
      </c>
      <c r="E507" s="34">
        <v>30.103999999999999</v>
      </c>
      <c r="F507" s="34">
        <v>35.787999999999997</v>
      </c>
      <c r="G507" s="34">
        <f t="shared" si="163"/>
        <v>5.6839999999999975</v>
      </c>
      <c r="H507" s="34">
        <v>37.109000000000002</v>
      </c>
      <c r="I507" s="34">
        <f t="shared" si="164"/>
        <v>1.3210000000000051</v>
      </c>
      <c r="J507" s="34">
        <v>37.109000000000002</v>
      </c>
      <c r="K507" s="25">
        <f t="shared" si="155"/>
        <v>0</v>
      </c>
      <c r="L507" s="34">
        <v>37.558</v>
      </c>
      <c r="M507" s="34">
        <f t="shared" si="156"/>
        <v>0.44899999999999807</v>
      </c>
      <c r="N507" s="34">
        <v>37.905000000000001</v>
      </c>
      <c r="O507" s="34">
        <f t="shared" si="157"/>
        <v>0.34700000000000131</v>
      </c>
      <c r="P507" s="34">
        <v>49.896999999999998</v>
      </c>
      <c r="Q507" s="25">
        <f t="shared" si="158"/>
        <v>11.991999999999997</v>
      </c>
      <c r="R507" s="34">
        <v>62.743000000000002</v>
      </c>
      <c r="S507" s="34">
        <f t="shared" si="159"/>
        <v>12.846000000000004</v>
      </c>
      <c r="T507" s="34"/>
      <c r="U507" s="34"/>
      <c r="V507" s="34"/>
      <c r="W507" s="34"/>
      <c r="X507" s="34"/>
      <c r="Y507" s="25">
        <f t="shared" si="160"/>
        <v>62.743000000000002</v>
      </c>
      <c r="Z507" s="26"/>
      <c r="AA507" s="26">
        <f t="shared" si="162"/>
        <v>57.641708773541581</v>
      </c>
      <c r="AB507"/>
      <c r="AC507"/>
    </row>
    <row r="508" spans="1:29">
      <c r="B508" s="11" t="s">
        <v>352</v>
      </c>
      <c r="C508" s="31">
        <v>10</v>
      </c>
      <c r="D508" s="23">
        <v>34</v>
      </c>
      <c r="E508" s="34"/>
      <c r="F508" s="34"/>
      <c r="G508" s="34">
        <f t="shared" si="163"/>
        <v>0</v>
      </c>
      <c r="H508" s="34">
        <v>0.66124000000000005</v>
      </c>
      <c r="I508" s="34">
        <f t="shared" si="164"/>
        <v>0.66124000000000005</v>
      </c>
      <c r="J508" s="34">
        <v>0.66124000000000005</v>
      </c>
      <c r="K508" s="25">
        <f t="shared" si="155"/>
        <v>0</v>
      </c>
      <c r="L508" s="34">
        <v>16.649239999999999</v>
      </c>
      <c r="M508" s="34">
        <f t="shared" si="156"/>
        <v>15.988</v>
      </c>
      <c r="N508" s="34">
        <v>16.649239999999999</v>
      </c>
      <c r="O508" s="34">
        <f t="shared" si="157"/>
        <v>0</v>
      </c>
      <c r="P508" s="34">
        <v>16.649239999999999</v>
      </c>
      <c r="Q508" s="25">
        <f t="shared" si="158"/>
        <v>0</v>
      </c>
      <c r="R508" s="34">
        <v>32.564239999999998</v>
      </c>
      <c r="S508" s="34">
        <f t="shared" si="159"/>
        <v>15.914999999999999</v>
      </c>
      <c r="T508" s="34"/>
      <c r="U508" s="34"/>
      <c r="V508" s="34"/>
      <c r="W508" s="34"/>
      <c r="X508" s="34"/>
      <c r="Y508" s="25">
        <f t="shared" si="160"/>
        <v>32.564239999999998</v>
      </c>
      <c r="Z508" s="26">
        <f t="shared" si="161"/>
        <v>325.64240000000001</v>
      </c>
      <c r="AA508" s="26">
        <f t="shared" si="162"/>
        <v>95.77717647058823</v>
      </c>
      <c r="AB508"/>
      <c r="AC508"/>
    </row>
    <row r="509" spans="1:29">
      <c r="B509" s="11" t="s">
        <v>450</v>
      </c>
      <c r="C509" s="31">
        <v>60</v>
      </c>
      <c r="D509" s="23">
        <v>70.5</v>
      </c>
      <c r="E509" s="34"/>
      <c r="F509" s="34"/>
      <c r="G509" s="34">
        <f t="shared" si="163"/>
        <v>0</v>
      </c>
      <c r="H509" s="34">
        <v>70.063429999999997</v>
      </c>
      <c r="I509" s="34">
        <f t="shared" si="164"/>
        <v>70.063429999999997</v>
      </c>
      <c r="J509" s="34">
        <v>70.063429999999997</v>
      </c>
      <c r="K509" s="25">
        <f t="shared" si="155"/>
        <v>0</v>
      </c>
      <c r="L509" s="34">
        <v>70.063429999999997</v>
      </c>
      <c r="M509" s="34">
        <f t="shared" si="156"/>
        <v>0</v>
      </c>
      <c r="N509" s="34">
        <v>70.063429999999997</v>
      </c>
      <c r="O509" s="34">
        <f t="shared" si="157"/>
        <v>0</v>
      </c>
      <c r="P509" s="34">
        <v>70.063429999999997</v>
      </c>
      <c r="Q509" s="25">
        <f t="shared" si="158"/>
        <v>0</v>
      </c>
      <c r="R509" s="34">
        <v>70.063429999999997</v>
      </c>
      <c r="S509" s="34">
        <f t="shared" si="159"/>
        <v>0</v>
      </c>
      <c r="T509" s="34"/>
      <c r="U509" s="34"/>
      <c r="V509" s="34"/>
      <c r="W509" s="34"/>
      <c r="X509" s="34"/>
      <c r="Y509" s="25">
        <f t="shared" si="160"/>
        <v>70.063429999999997</v>
      </c>
      <c r="Z509" s="26">
        <f t="shared" si="161"/>
        <v>116.77238333333332</v>
      </c>
      <c r="AA509" s="26">
        <f t="shared" si="162"/>
        <v>99.380751773049639</v>
      </c>
      <c r="AB509"/>
      <c r="AC509"/>
    </row>
    <row r="510" spans="1:29">
      <c r="B510" s="11" t="s">
        <v>345</v>
      </c>
      <c r="C510" s="31">
        <v>30</v>
      </c>
      <c r="D510" s="23">
        <v>19.5</v>
      </c>
      <c r="E510" s="34"/>
      <c r="F510" s="34"/>
      <c r="G510" s="34">
        <f t="shared" si="163"/>
        <v>0</v>
      </c>
      <c r="H510" s="34">
        <v>19.401900000000001</v>
      </c>
      <c r="I510" s="34">
        <f t="shared" si="164"/>
        <v>19.401900000000001</v>
      </c>
      <c r="J510" s="34">
        <v>19.401900000000001</v>
      </c>
      <c r="K510" s="25">
        <f t="shared" si="155"/>
        <v>0</v>
      </c>
      <c r="L510" s="34">
        <v>19.401900000000001</v>
      </c>
      <c r="M510" s="34">
        <f t="shared" si="156"/>
        <v>0</v>
      </c>
      <c r="N510" s="34">
        <v>19.401900000000001</v>
      </c>
      <c r="O510" s="34">
        <f t="shared" si="157"/>
        <v>0</v>
      </c>
      <c r="P510" s="34">
        <v>19.401900000000001</v>
      </c>
      <c r="Q510" s="25">
        <f t="shared" si="158"/>
        <v>0</v>
      </c>
      <c r="R510" s="34">
        <v>19.401900000000001</v>
      </c>
      <c r="S510" s="34">
        <f t="shared" si="159"/>
        <v>0</v>
      </c>
      <c r="T510" s="34"/>
      <c r="U510" s="34"/>
      <c r="V510" s="34"/>
      <c r="W510" s="34"/>
      <c r="X510" s="34"/>
      <c r="Y510" s="25">
        <f t="shared" si="160"/>
        <v>19.401900000000001</v>
      </c>
      <c r="Z510" s="26">
        <f t="shared" si="161"/>
        <v>64.673000000000002</v>
      </c>
      <c r="AA510" s="26">
        <f t="shared" si="162"/>
        <v>99.496923076923082</v>
      </c>
      <c r="AB510"/>
      <c r="AC510"/>
    </row>
    <row r="511" spans="1:29">
      <c r="B511" s="11" t="s">
        <v>332</v>
      </c>
      <c r="C511" s="65">
        <v>70</v>
      </c>
      <c r="D511" s="23">
        <v>70</v>
      </c>
      <c r="E511" s="34">
        <v>4.7699600000000002</v>
      </c>
      <c r="F511" s="34">
        <v>11.832990000000001</v>
      </c>
      <c r="G511" s="34">
        <f t="shared" si="163"/>
        <v>7.0630300000000004</v>
      </c>
      <c r="H511" s="34">
        <v>23.558990000000001</v>
      </c>
      <c r="I511" s="34">
        <f t="shared" si="164"/>
        <v>11.726000000000001</v>
      </c>
      <c r="J511" s="34">
        <v>36.896299999999997</v>
      </c>
      <c r="K511" s="25">
        <f t="shared" si="155"/>
        <v>13.337309999999995</v>
      </c>
      <c r="L511" s="34">
        <v>42.4589</v>
      </c>
      <c r="M511" s="34">
        <f t="shared" si="156"/>
        <v>5.5626000000000033</v>
      </c>
      <c r="N511" s="34">
        <v>48.698900000000002</v>
      </c>
      <c r="O511" s="34">
        <f t="shared" si="157"/>
        <v>6.240000000000002</v>
      </c>
      <c r="P511" s="34">
        <v>60.651899999999998</v>
      </c>
      <c r="Q511" s="25">
        <f t="shared" si="158"/>
        <v>11.952999999999996</v>
      </c>
      <c r="R511" s="34">
        <v>65.135630000000006</v>
      </c>
      <c r="S511" s="34">
        <f t="shared" si="159"/>
        <v>4.4837300000000084</v>
      </c>
      <c r="T511" s="34"/>
      <c r="U511" s="34"/>
      <c r="V511" s="34"/>
      <c r="W511" s="34"/>
      <c r="X511" s="34"/>
      <c r="Y511" s="25">
        <f t="shared" si="160"/>
        <v>65.135630000000006</v>
      </c>
      <c r="Z511" s="26">
        <f t="shared" si="161"/>
        <v>93.050900000000013</v>
      </c>
      <c r="AA511" s="26">
        <f t="shared" si="162"/>
        <v>93.050900000000013</v>
      </c>
      <c r="AB511"/>
    </row>
    <row r="512" spans="1:29">
      <c r="B512" s="11" t="s">
        <v>333</v>
      </c>
      <c r="C512" s="64">
        <v>4</v>
      </c>
      <c r="D512" s="23">
        <v>4</v>
      </c>
      <c r="E512" s="34">
        <v>0.89104000000000005</v>
      </c>
      <c r="F512" s="34">
        <v>0.99653999999999998</v>
      </c>
      <c r="G512" s="34">
        <f t="shared" si="163"/>
        <v>0.10549999999999993</v>
      </c>
      <c r="H512" s="34">
        <v>0.98485999999999996</v>
      </c>
      <c r="I512" s="34">
        <f t="shared" si="164"/>
        <v>-1.1680000000000024E-2</v>
      </c>
      <c r="J512" s="34">
        <v>1.1425799999999999</v>
      </c>
      <c r="K512" s="25">
        <f t="shared" si="155"/>
        <v>0.15771999999999997</v>
      </c>
      <c r="L512" s="34">
        <v>1.42977</v>
      </c>
      <c r="M512" s="34">
        <f t="shared" si="156"/>
        <v>0.28719000000000006</v>
      </c>
      <c r="N512" s="34">
        <v>1.9043399999999999</v>
      </c>
      <c r="O512" s="34">
        <f t="shared" si="157"/>
        <v>0.47456999999999994</v>
      </c>
      <c r="P512" s="34">
        <v>2.3296600000000001</v>
      </c>
      <c r="Q512" s="25">
        <f t="shared" si="158"/>
        <v>0.42532000000000014</v>
      </c>
      <c r="R512" s="34">
        <v>2.9564400000000002</v>
      </c>
      <c r="S512" s="34">
        <f t="shared" si="159"/>
        <v>0.62678000000000011</v>
      </c>
      <c r="T512" s="34"/>
      <c r="U512" s="34"/>
      <c r="V512" s="34"/>
      <c r="W512" s="34"/>
      <c r="X512" s="34"/>
      <c r="Y512" s="25">
        <f t="shared" si="160"/>
        <v>2.9564400000000002</v>
      </c>
      <c r="Z512" s="26">
        <f t="shared" si="161"/>
        <v>73.911000000000001</v>
      </c>
      <c r="AA512" s="26">
        <f t="shared" si="162"/>
        <v>73.911000000000001</v>
      </c>
      <c r="AB512"/>
    </row>
    <row r="513" spans="1:29">
      <c r="B513" s="11" t="s">
        <v>334</v>
      </c>
      <c r="C513" s="31">
        <v>60</v>
      </c>
      <c r="D513" s="23">
        <v>52.16</v>
      </c>
      <c r="E513" s="34">
        <v>31.417999999999999</v>
      </c>
      <c r="F513" s="34">
        <v>31.417999999999999</v>
      </c>
      <c r="G513" s="34">
        <f t="shared" si="163"/>
        <v>0</v>
      </c>
      <c r="H513" s="34">
        <v>31.417999999999999</v>
      </c>
      <c r="I513" s="34">
        <f t="shared" si="164"/>
        <v>0</v>
      </c>
      <c r="J513" s="34">
        <v>50.154000000000003</v>
      </c>
      <c r="K513" s="25">
        <f t="shared" si="155"/>
        <v>18.736000000000004</v>
      </c>
      <c r="L513" s="34">
        <v>51.076000000000001</v>
      </c>
      <c r="M513" s="34">
        <f t="shared" si="156"/>
        <v>0.92199999999999704</v>
      </c>
      <c r="N513" s="34">
        <v>51.076000000000001</v>
      </c>
      <c r="O513" s="34">
        <f t="shared" si="157"/>
        <v>0</v>
      </c>
      <c r="P513" s="34">
        <v>51.076000000000001</v>
      </c>
      <c r="Q513" s="25">
        <f t="shared" si="158"/>
        <v>0</v>
      </c>
      <c r="R513" s="34">
        <v>51.076000000000001</v>
      </c>
      <c r="S513" s="34">
        <f t="shared" si="159"/>
        <v>0</v>
      </c>
      <c r="T513" s="34"/>
      <c r="U513" s="34"/>
      <c r="V513" s="34"/>
      <c r="W513" s="34"/>
      <c r="X513" s="34"/>
      <c r="Y513" s="25">
        <f t="shared" si="160"/>
        <v>51.076000000000001</v>
      </c>
      <c r="Z513" s="26">
        <f t="shared" si="161"/>
        <v>85.126666666666679</v>
      </c>
      <c r="AA513" s="26">
        <f t="shared" si="162"/>
        <v>97.921779141104309</v>
      </c>
      <c r="AB513"/>
    </row>
    <row r="514" spans="1:29">
      <c r="B514" s="11" t="s">
        <v>319</v>
      </c>
      <c r="C514" s="31">
        <v>10</v>
      </c>
      <c r="D514" s="23">
        <v>13</v>
      </c>
      <c r="E514" s="34">
        <v>12.645</v>
      </c>
      <c r="F514" s="34">
        <v>12.645</v>
      </c>
      <c r="G514" s="34">
        <f t="shared" si="163"/>
        <v>0</v>
      </c>
      <c r="H514" s="34">
        <v>12.645</v>
      </c>
      <c r="I514" s="34">
        <f t="shared" si="164"/>
        <v>0</v>
      </c>
      <c r="J514" s="34">
        <v>12.645</v>
      </c>
      <c r="K514" s="25">
        <f t="shared" si="155"/>
        <v>0</v>
      </c>
      <c r="L514" s="34">
        <v>12.645</v>
      </c>
      <c r="M514" s="34">
        <f t="shared" si="156"/>
        <v>0</v>
      </c>
      <c r="N514" s="34">
        <v>12.645</v>
      </c>
      <c r="O514" s="34">
        <f t="shared" si="157"/>
        <v>0</v>
      </c>
      <c r="P514" s="34">
        <v>12.645</v>
      </c>
      <c r="Q514" s="25">
        <f t="shared" si="158"/>
        <v>0</v>
      </c>
      <c r="R514" s="34">
        <v>12.645</v>
      </c>
      <c r="S514" s="34">
        <f t="shared" si="159"/>
        <v>0</v>
      </c>
      <c r="T514" s="34"/>
      <c r="U514" s="34"/>
      <c r="V514" s="34"/>
      <c r="W514" s="34"/>
      <c r="X514" s="34"/>
      <c r="Y514" s="25">
        <f t="shared" si="160"/>
        <v>12.645</v>
      </c>
      <c r="Z514" s="26">
        <f t="shared" si="161"/>
        <v>126.44999999999999</v>
      </c>
      <c r="AA514" s="26">
        <f t="shared" si="162"/>
        <v>97.269230769230759</v>
      </c>
      <c r="AB514"/>
    </row>
    <row r="515" spans="1:29" ht="25.5">
      <c r="B515" s="471" t="s">
        <v>550</v>
      </c>
      <c r="C515" s="33"/>
      <c r="D515" s="23">
        <v>3</v>
      </c>
      <c r="E515" s="34">
        <v>2.2989999999999999</v>
      </c>
      <c r="F515" s="34">
        <v>2.2989999999999999</v>
      </c>
      <c r="G515" s="34">
        <f t="shared" si="163"/>
        <v>0</v>
      </c>
      <c r="H515" s="34">
        <v>2.2989999999999999</v>
      </c>
      <c r="I515" s="34">
        <f t="shared" si="164"/>
        <v>0</v>
      </c>
      <c r="J515" s="34">
        <v>2.2989999999999999</v>
      </c>
      <c r="K515" s="25">
        <f t="shared" si="155"/>
        <v>0</v>
      </c>
      <c r="L515" s="34">
        <v>2.2989999999999999</v>
      </c>
      <c r="M515" s="34">
        <f t="shared" si="156"/>
        <v>0</v>
      </c>
      <c r="N515" s="34">
        <v>2.2989999999999999</v>
      </c>
      <c r="O515" s="34">
        <f t="shared" si="157"/>
        <v>0</v>
      </c>
      <c r="P515" s="34">
        <v>2.2989999999999999</v>
      </c>
      <c r="Q515" s="25">
        <f t="shared" si="158"/>
        <v>0</v>
      </c>
      <c r="R515" s="34">
        <v>2.2989999999999999</v>
      </c>
      <c r="S515" s="34">
        <f t="shared" si="159"/>
        <v>0</v>
      </c>
      <c r="T515" s="34"/>
      <c r="U515" s="34"/>
      <c r="V515" s="34"/>
      <c r="W515" s="34"/>
      <c r="X515" s="34"/>
      <c r="Y515" s="25">
        <f t="shared" si="160"/>
        <v>2.2989999999999999</v>
      </c>
      <c r="Z515" s="26"/>
      <c r="AA515" s="26">
        <f t="shared" si="162"/>
        <v>76.633333333333326</v>
      </c>
      <c r="AB515"/>
    </row>
    <row r="516" spans="1:29">
      <c r="B516" s="11" t="s">
        <v>320</v>
      </c>
      <c r="C516" s="65">
        <v>88</v>
      </c>
      <c r="D516" s="23">
        <v>78</v>
      </c>
      <c r="E516" s="34">
        <v>2.2000000000000002</v>
      </c>
      <c r="F516" s="34">
        <v>2.2000000000000002</v>
      </c>
      <c r="G516" s="34">
        <f t="shared" si="163"/>
        <v>0</v>
      </c>
      <c r="H516" s="34">
        <v>3.53</v>
      </c>
      <c r="I516" s="34">
        <f t="shared" si="164"/>
        <v>1.3299999999999996</v>
      </c>
      <c r="J516" s="34">
        <v>4.51</v>
      </c>
      <c r="K516" s="25">
        <f t="shared" si="155"/>
        <v>0.98</v>
      </c>
      <c r="L516" s="34">
        <v>4.96</v>
      </c>
      <c r="M516" s="34">
        <f t="shared" si="156"/>
        <v>0.45000000000000018</v>
      </c>
      <c r="N516" s="34">
        <v>4.96</v>
      </c>
      <c r="O516" s="34">
        <f t="shared" si="157"/>
        <v>0</v>
      </c>
      <c r="P516" s="34">
        <v>4.96</v>
      </c>
      <c r="Q516" s="25">
        <f t="shared" si="158"/>
        <v>0</v>
      </c>
      <c r="R516" s="34">
        <v>7.16</v>
      </c>
      <c r="S516" s="34">
        <f t="shared" si="159"/>
        <v>2.2000000000000002</v>
      </c>
      <c r="T516" s="34"/>
      <c r="U516" s="34"/>
      <c r="V516" s="34"/>
      <c r="W516" s="34"/>
      <c r="X516" s="34"/>
      <c r="Y516" s="25">
        <f t="shared" si="160"/>
        <v>7.16</v>
      </c>
      <c r="Z516" s="26">
        <f t="shared" si="161"/>
        <v>8.1363636363636367</v>
      </c>
      <c r="AA516" s="26">
        <f t="shared" si="162"/>
        <v>9.1794871794871788</v>
      </c>
      <c r="AB516"/>
    </row>
    <row r="517" spans="1:29">
      <c r="B517" s="11" t="s">
        <v>335</v>
      </c>
      <c r="C517" s="65">
        <v>125</v>
      </c>
      <c r="D517" s="23">
        <v>39.840000000000003</v>
      </c>
      <c r="E517" s="34"/>
      <c r="F517" s="34"/>
      <c r="G517" s="34">
        <f t="shared" si="163"/>
        <v>0</v>
      </c>
      <c r="H517" s="34"/>
      <c r="I517" s="34">
        <f t="shared" si="164"/>
        <v>0</v>
      </c>
      <c r="J517" s="34">
        <v>13.438000000000001</v>
      </c>
      <c r="K517" s="25">
        <f t="shared" si="155"/>
        <v>13.438000000000001</v>
      </c>
      <c r="L517" s="34">
        <v>15.035</v>
      </c>
      <c r="M517" s="34">
        <f t="shared" si="156"/>
        <v>1.5969999999999995</v>
      </c>
      <c r="N517" s="34">
        <v>15.035</v>
      </c>
      <c r="O517" s="34">
        <f t="shared" si="157"/>
        <v>0</v>
      </c>
      <c r="P517" s="34">
        <v>15.035</v>
      </c>
      <c r="Q517" s="25">
        <f t="shared" si="158"/>
        <v>0</v>
      </c>
      <c r="R517" s="34">
        <v>38.811999999999998</v>
      </c>
      <c r="S517" s="34">
        <f t="shared" si="159"/>
        <v>23.776999999999997</v>
      </c>
      <c r="T517" s="34"/>
      <c r="U517" s="34"/>
      <c r="V517" s="34"/>
      <c r="W517" s="34"/>
      <c r="X517" s="34"/>
      <c r="Y517" s="25">
        <f t="shared" si="160"/>
        <v>38.811999999999998</v>
      </c>
      <c r="Z517" s="26">
        <f t="shared" si="161"/>
        <v>31.049599999999998</v>
      </c>
      <c r="AA517" s="26">
        <f t="shared" si="162"/>
        <v>97.41967871485943</v>
      </c>
      <c r="AB517"/>
    </row>
    <row r="518" spans="1:29">
      <c r="B518" s="17" t="s">
        <v>415</v>
      </c>
      <c r="C518" s="65"/>
      <c r="D518" s="23">
        <v>1</v>
      </c>
      <c r="E518" s="34">
        <v>0.3</v>
      </c>
      <c r="F518" s="34">
        <v>0.3</v>
      </c>
      <c r="G518" s="34">
        <f t="shared" si="163"/>
        <v>0</v>
      </c>
      <c r="H518" s="34">
        <v>0.3</v>
      </c>
      <c r="I518" s="34">
        <f t="shared" si="164"/>
        <v>0</v>
      </c>
      <c r="J518" s="34">
        <v>0.3</v>
      </c>
      <c r="K518" s="25">
        <f t="shared" si="155"/>
        <v>0</v>
      </c>
      <c r="L518" s="34">
        <v>0.3</v>
      </c>
      <c r="M518" s="34">
        <f t="shared" si="156"/>
        <v>0</v>
      </c>
      <c r="N518" s="34">
        <v>0.3</v>
      </c>
      <c r="O518" s="34">
        <f t="shared" si="157"/>
        <v>0</v>
      </c>
      <c r="P518" s="34">
        <v>0.3</v>
      </c>
      <c r="Q518" s="25">
        <f t="shared" si="158"/>
        <v>0</v>
      </c>
      <c r="R518" s="34">
        <v>0.3</v>
      </c>
      <c r="S518" s="34">
        <f t="shared" si="159"/>
        <v>0</v>
      </c>
      <c r="T518" s="34"/>
      <c r="U518" s="34"/>
      <c r="V518" s="34"/>
      <c r="W518" s="34"/>
      <c r="X518" s="34"/>
      <c r="Y518" s="25">
        <f t="shared" si="160"/>
        <v>0.3</v>
      </c>
      <c r="Z518" s="26"/>
      <c r="AA518" s="26">
        <f t="shared" si="162"/>
        <v>30</v>
      </c>
      <c r="AB518"/>
    </row>
    <row r="519" spans="1:29">
      <c r="B519" s="11" t="s">
        <v>426</v>
      </c>
      <c r="C519" s="65"/>
      <c r="D519" s="23">
        <v>1</v>
      </c>
      <c r="E519" s="34"/>
      <c r="F519" s="34"/>
      <c r="G519" s="34"/>
      <c r="H519" s="34"/>
      <c r="I519" s="34"/>
      <c r="J519" s="34"/>
      <c r="K519" s="25"/>
      <c r="L519" s="34">
        <v>0.55600000000000005</v>
      </c>
      <c r="M519" s="34">
        <f t="shared" si="156"/>
        <v>0.55600000000000005</v>
      </c>
      <c r="N519" s="34">
        <v>0.55600000000000005</v>
      </c>
      <c r="O519" s="34">
        <f t="shared" si="157"/>
        <v>0</v>
      </c>
      <c r="P519" s="34">
        <v>0.55600000000000005</v>
      </c>
      <c r="Q519" s="25">
        <f t="shared" si="158"/>
        <v>0</v>
      </c>
      <c r="R519" s="34">
        <v>0.55600000000000005</v>
      </c>
      <c r="S519" s="34">
        <f t="shared" si="159"/>
        <v>0</v>
      </c>
      <c r="T519" s="34"/>
      <c r="U519" s="34"/>
      <c r="V519" s="34"/>
      <c r="W519" s="34"/>
      <c r="X519" s="34"/>
      <c r="Y519" s="25">
        <f t="shared" si="160"/>
        <v>0.55600000000000005</v>
      </c>
      <c r="Z519" s="26"/>
      <c r="AA519" s="26">
        <f t="shared" si="162"/>
        <v>55.600000000000009</v>
      </c>
      <c r="AB519"/>
      <c r="AC519" s="551"/>
    </row>
    <row r="520" spans="1:29">
      <c r="B520" s="428"/>
      <c r="C520" s="39">
        <f>SUM(C505:C519)</f>
        <v>552</v>
      </c>
      <c r="D520" s="39">
        <f>SUM(D505:D519)</f>
        <v>610.85</v>
      </c>
      <c r="E520" s="40">
        <f t="shared" ref="E520:W520" si="165">SUM(E505:E518)</f>
        <v>122.24490000000002</v>
      </c>
      <c r="F520" s="40">
        <f t="shared" si="165"/>
        <v>167.47543000000002</v>
      </c>
      <c r="G520" s="40">
        <f t="shared" si="165"/>
        <v>45.230530000000002</v>
      </c>
      <c r="H520" s="40">
        <f t="shared" si="165"/>
        <v>271.96731999999997</v>
      </c>
      <c r="I520" s="40">
        <f t="shared" si="165"/>
        <v>104.49189</v>
      </c>
      <c r="J520" s="40">
        <f>SUM(J505:J519)</f>
        <v>318.61635000000001</v>
      </c>
      <c r="K520" s="40">
        <f>SUM(K505:K519)</f>
        <v>46.649029999999996</v>
      </c>
      <c r="L520" s="40">
        <f>SUM(L505:L519)</f>
        <v>344.42814000000004</v>
      </c>
      <c r="M520" s="40">
        <f>SUM(M505:M519)</f>
        <v>25.811789999999998</v>
      </c>
      <c r="N520" s="40">
        <f>SUM(N505:N519)</f>
        <v>351.48970999999995</v>
      </c>
      <c r="O520" s="40">
        <f t="shared" si="165"/>
        <v>7.0615700000000032</v>
      </c>
      <c r="P520" s="40">
        <f>SUM(P505:P519)</f>
        <v>375.86002999999999</v>
      </c>
      <c r="Q520" s="40">
        <f t="shared" si="165"/>
        <v>24.370319999999992</v>
      </c>
      <c r="R520" s="40">
        <f>SUM(R505:R519)</f>
        <v>441.22854000000001</v>
      </c>
      <c r="S520" s="40">
        <f t="shared" si="165"/>
        <v>65.368510000000015</v>
      </c>
      <c r="T520" s="40">
        <f t="shared" si="165"/>
        <v>0</v>
      </c>
      <c r="U520" s="40">
        <f t="shared" si="165"/>
        <v>0</v>
      </c>
      <c r="V520" s="40">
        <f t="shared" si="165"/>
        <v>0</v>
      </c>
      <c r="W520" s="40">
        <f t="shared" si="165"/>
        <v>0</v>
      </c>
      <c r="X520" s="40"/>
      <c r="Y520" s="40">
        <f>SUM(Y505:Y519)</f>
        <v>441.22854000000001</v>
      </c>
      <c r="Z520" s="401">
        <f t="shared" si="161"/>
        <v>79.932706521739121</v>
      </c>
      <c r="AA520" s="401">
        <f>(Y520/D520)*100</f>
        <v>72.231896537611533</v>
      </c>
      <c r="AB520"/>
    </row>
    <row r="521" spans="1:29" s="72" customFormat="1">
      <c r="A521" s="81"/>
      <c r="B521" s="74"/>
      <c r="C521" s="42"/>
      <c r="D521" s="42"/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29"/>
      <c r="AA521" s="429"/>
      <c r="AB521"/>
      <c r="AC521" s="500"/>
    </row>
    <row r="522" spans="1:29">
      <c r="A522" s="75" t="s">
        <v>313</v>
      </c>
      <c r="B522" s="73" t="s">
        <v>484</v>
      </c>
      <c r="C522" s="117"/>
      <c r="D522" s="117"/>
      <c r="E522" s="430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  <c r="Q522" s="430"/>
      <c r="R522" s="430"/>
      <c r="S522" s="430"/>
      <c r="T522" s="430"/>
      <c r="U522" s="430"/>
      <c r="V522" s="430"/>
      <c r="W522" s="430"/>
      <c r="X522" s="430"/>
      <c r="Y522" s="430"/>
      <c r="Z522" s="430"/>
      <c r="AA522" s="431"/>
      <c r="AB522"/>
    </row>
    <row r="523" spans="1:29">
      <c r="A523" s="75" t="s">
        <v>485</v>
      </c>
      <c r="B523" s="11" t="s">
        <v>329</v>
      </c>
      <c r="C523" s="31">
        <v>6</v>
      </c>
      <c r="D523" s="31">
        <v>1</v>
      </c>
      <c r="E523" s="34"/>
      <c r="F523" s="34"/>
      <c r="G523" s="34"/>
      <c r="H523" s="34"/>
      <c r="I523" s="34">
        <f>H523-F523</f>
        <v>0</v>
      </c>
      <c r="J523" s="25">
        <f>I523-G523</f>
        <v>0</v>
      </c>
      <c r="K523" s="25">
        <f t="shared" ref="K523:K528" si="166">J523-H523</f>
        <v>0</v>
      </c>
      <c r="L523" s="34"/>
      <c r="M523" s="34">
        <f t="shared" ref="M523:M528" si="167">L523-J523</f>
        <v>0</v>
      </c>
      <c r="N523" s="34"/>
      <c r="O523" s="34">
        <f t="shared" ref="O523:O528" si="168">N523-L523</f>
        <v>0</v>
      </c>
      <c r="P523" s="34"/>
      <c r="Q523" s="25">
        <f t="shared" ref="Q523:Q528" si="169">P523-N523</f>
        <v>0</v>
      </c>
      <c r="R523" s="34"/>
      <c r="S523" s="34">
        <f t="shared" ref="S523:S528" si="170">R523-P523</f>
        <v>0</v>
      </c>
      <c r="T523" s="34"/>
      <c r="U523" s="34"/>
      <c r="V523" s="34"/>
      <c r="W523" s="34"/>
      <c r="X523" s="34"/>
      <c r="Y523" s="25">
        <f t="shared" ref="Y523:Y528" si="171">E523+G523+I523+K523+M523+O523+Q523+S523+U523+W523</f>
        <v>0</v>
      </c>
      <c r="Z523" s="26">
        <f t="shared" ref="Z523:Z529" si="172">(Y523/C523)*100</f>
        <v>0</v>
      </c>
      <c r="AA523" s="26">
        <f t="shared" ref="AA523:AA528" si="173">(Y523/D523)*100</f>
        <v>0</v>
      </c>
      <c r="AB523"/>
    </row>
    <row r="524" spans="1:29">
      <c r="A524" s="75"/>
      <c r="B524" s="11" t="s">
        <v>330</v>
      </c>
      <c r="C524" s="31"/>
      <c r="D524" s="31">
        <v>13</v>
      </c>
      <c r="E524" s="34"/>
      <c r="F524" s="34"/>
      <c r="G524" s="34"/>
      <c r="H524" s="34"/>
      <c r="I524" s="34"/>
      <c r="J524" s="25"/>
      <c r="K524" s="25"/>
      <c r="L524" s="34"/>
      <c r="M524" s="34"/>
      <c r="N524" s="34"/>
      <c r="O524" s="34"/>
      <c r="P524" s="34"/>
      <c r="Q524" s="25"/>
      <c r="R524" s="34">
        <v>12.832000000000001</v>
      </c>
      <c r="S524" s="34">
        <f t="shared" si="170"/>
        <v>12.832000000000001</v>
      </c>
      <c r="T524" s="34"/>
      <c r="U524" s="34"/>
      <c r="V524" s="34"/>
      <c r="W524" s="34"/>
      <c r="X524" s="34"/>
      <c r="Y524" s="25">
        <f>E524+G524+I524+K524+M524+O524+Q524+S524+U524+W524</f>
        <v>12.832000000000001</v>
      </c>
      <c r="Z524" s="26"/>
      <c r="AA524" s="26">
        <f>(Y524/D524)*100</f>
        <v>98.707692307692312</v>
      </c>
      <c r="AB524"/>
      <c r="AC524" s="570"/>
    </row>
    <row r="525" spans="1:29">
      <c r="B525" s="11" t="s">
        <v>331</v>
      </c>
      <c r="C525" s="31">
        <v>7</v>
      </c>
      <c r="D525" s="31">
        <v>2</v>
      </c>
      <c r="E525" s="34"/>
      <c r="F525" s="34">
        <v>0.36</v>
      </c>
      <c r="G525" s="34">
        <f>F525-E525</f>
        <v>0.36</v>
      </c>
      <c r="H525" s="34">
        <v>0.36</v>
      </c>
      <c r="I525" s="34">
        <f>H525-F525</f>
        <v>0</v>
      </c>
      <c r="J525" s="34">
        <v>1.478</v>
      </c>
      <c r="K525" s="25">
        <f t="shared" si="166"/>
        <v>1.1179999999999999</v>
      </c>
      <c r="L525" s="34">
        <v>1.478</v>
      </c>
      <c r="M525" s="34">
        <f t="shared" si="167"/>
        <v>0</v>
      </c>
      <c r="N525" s="34">
        <v>1.478</v>
      </c>
      <c r="O525" s="34">
        <f t="shared" si="168"/>
        <v>0</v>
      </c>
      <c r="P525" s="34">
        <v>1.478</v>
      </c>
      <c r="Q525" s="25">
        <f t="shared" si="169"/>
        <v>0</v>
      </c>
      <c r="R525" s="34">
        <v>1.478</v>
      </c>
      <c r="S525" s="34">
        <f t="shared" si="170"/>
        <v>0</v>
      </c>
      <c r="T525" s="34"/>
      <c r="U525" s="34"/>
      <c r="V525" s="34"/>
      <c r="W525" s="34"/>
      <c r="X525" s="34"/>
      <c r="Y525" s="25">
        <f t="shared" si="171"/>
        <v>1.4779999999999998</v>
      </c>
      <c r="Z525" s="26">
        <f t="shared" si="172"/>
        <v>21.11428571428571</v>
      </c>
      <c r="AA525" s="26">
        <f t="shared" si="173"/>
        <v>73.899999999999991</v>
      </c>
      <c r="AB525"/>
    </row>
    <row r="526" spans="1:29">
      <c r="B526" s="11" t="s">
        <v>345</v>
      </c>
      <c r="C526" s="31">
        <v>17</v>
      </c>
      <c r="D526" s="31">
        <v>12</v>
      </c>
      <c r="E526" s="34">
        <v>2.25</v>
      </c>
      <c r="F526" s="34">
        <v>3</v>
      </c>
      <c r="G526" s="34">
        <f>F526-E526</f>
        <v>0.75</v>
      </c>
      <c r="H526" s="34">
        <v>3.75</v>
      </c>
      <c r="I526" s="34">
        <f>H526-F526</f>
        <v>0.75</v>
      </c>
      <c r="J526" s="34">
        <v>5.3373499999999998</v>
      </c>
      <c r="K526" s="25">
        <f t="shared" si="166"/>
        <v>1.5873499999999998</v>
      </c>
      <c r="L526" s="34">
        <v>6.0873499999999998</v>
      </c>
      <c r="M526" s="34">
        <f t="shared" si="167"/>
        <v>0.75</v>
      </c>
      <c r="N526" s="34">
        <v>6.8373499999999998</v>
      </c>
      <c r="O526" s="34">
        <f t="shared" si="168"/>
        <v>0.75</v>
      </c>
      <c r="P526" s="34">
        <v>7.5873499999999998</v>
      </c>
      <c r="Q526" s="25">
        <f t="shared" si="169"/>
        <v>0.75</v>
      </c>
      <c r="R526" s="34">
        <v>8.3373500000000007</v>
      </c>
      <c r="S526" s="34">
        <f t="shared" si="170"/>
        <v>0.75000000000000089</v>
      </c>
      <c r="T526" s="34"/>
      <c r="U526" s="34"/>
      <c r="V526" s="34"/>
      <c r="W526" s="34"/>
      <c r="X526" s="34"/>
      <c r="Y526" s="25">
        <f t="shared" si="171"/>
        <v>8.3373500000000007</v>
      </c>
      <c r="Z526" s="26">
        <f t="shared" si="172"/>
        <v>49.04323529411765</v>
      </c>
      <c r="AA526" s="26">
        <f t="shared" si="173"/>
        <v>69.477916666666673</v>
      </c>
      <c r="AB526"/>
    </row>
    <row r="527" spans="1:29">
      <c r="B527" s="11" t="s">
        <v>332</v>
      </c>
      <c r="C527" s="65"/>
      <c r="D527" s="65"/>
      <c r="E527" s="34"/>
      <c r="F527" s="34"/>
      <c r="G527" s="34"/>
      <c r="H527" s="34"/>
      <c r="I527" s="34">
        <f>H527-F527</f>
        <v>0</v>
      </c>
      <c r="J527" s="34"/>
      <c r="K527" s="25">
        <f t="shared" si="166"/>
        <v>0</v>
      </c>
      <c r="L527" s="34"/>
      <c r="M527" s="34">
        <f t="shared" si="167"/>
        <v>0</v>
      </c>
      <c r="N527" s="34"/>
      <c r="O527" s="34">
        <f t="shared" si="168"/>
        <v>0</v>
      </c>
      <c r="P527" s="34"/>
      <c r="Q527" s="25">
        <f t="shared" si="169"/>
        <v>0</v>
      </c>
      <c r="R527" s="34"/>
      <c r="S527" s="34">
        <f t="shared" si="170"/>
        <v>0</v>
      </c>
      <c r="T527" s="34"/>
      <c r="U527" s="34"/>
      <c r="V527" s="34"/>
      <c r="W527" s="34"/>
      <c r="X527" s="34"/>
      <c r="Y527" s="25">
        <f t="shared" si="171"/>
        <v>0</v>
      </c>
      <c r="Z527" s="26"/>
      <c r="AA527" s="26"/>
      <c r="AB527"/>
    </row>
    <row r="528" spans="1:29">
      <c r="B528" s="11" t="s">
        <v>320</v>
      </c>
      <c r="C528" s="65">
        <v>7</v>
      </c>
      <c r="D528" s="65">
        <v>9</v>
      </c>
      <c r="E528" s="34"/>
      <c r="F528" s="34"/>
      <c r="G528" s="34"/>
      <c r="H528" s="34">
        <v>7.55</v>
      </c>
      <c r="I528" s="34">
        <f>H528-F528</f>
        <v>7.55</v>
      </c>
      <c r="J528" s="34">
        <v>7.55</v>
      </c>
      <c r="K528" s="25">
        <f t="shared" si="166"/>
        <v>0</v>
      </c>
      <c r="L528" s="34">
        <v>7.55</v>
      </c>
      <c r="M528" s="34">
        <f t="shared" si="167"/>
        <v>0</v>
      </c>
      <c r="N528" s="34">
        <v>7.55</v>
      </c>
      <c r="O528" s="34">
        <f t="shared" si="168"/>
        <v>0</v>
      </c>
      <c r="P528" s="34">
        <v>7.55</v>
      </c>
      <c r="Q528" s="25">
        <f t="shared" si="169"/>
        <v>0</v>
      </c>
      <c r="R528" s="34">
        <v>7.55</v>
      </c>
      <c r="S528" s="34">
        <f t="shared" si="170"/>
        <v>0</v>
      </c>
      <c r="T528" s="34"/>
      <c r="U528" s="34"/>
      <c r="V528" s="34"/>
      <c r="W528" s="34"/>
      <c r="X528" s="34"/>
      <c r="Y528" s="25">
        <f t="shared" si="171"/>
        <v>7.55</v>
      </c>
      <c r="Z528" s="26">
        <f t="shared" si="172"/>
        <v>107.85714285714285</v>
      </c>
      <c r="AA528" s="26">
        <f t="shared" si="173"/>
        <v>83.888888888888886</v>
      </c>
      <c r="AB528"/>
    </row>
    <row r="529" spans="1:29">
      <c r="B529" s="55"/>
      <c r="C529" s="39">
        <f>SUM(C523:C528)</f>
        <v>37</v>
      </c>
      <c r="D529" s="39">
        <f>SUM(D523:D528)</f>
        <v>37</v>
      </c>
      <c r="E529" s="40">
        <f>SUM(E523:E528)</f>
        <v>2.25</v>
      </c>
      <c r="F529" s="40">
        <f t="shared" ref="F529:Y529" si="174">SUM(F523:F528)</f>
        <v>3.36</v>
      </c>
      <c r="G529" s="40">
        <f t="shared" si="174"/>
        <v>1.1099999999999999</v>
      </c>
      <c r="H529" s="40">
        <f t="shared" si="174"/>
        <v>11.66</v>
      </c>
      <c r="I529" s="40">
        <f t="shared" si="174"/>
        <v>8.3000000000000007</v>
      </c>
      <c r="J529" s="40">
        <f t="shared" si="174"/>
        <v>14.365349999999999</v>
      </c>
      <c r="K529" s="40">
        <f t="shared" si="174"/>
        <v>2.7053499999999997</v>
      </c>
      <c r="L529" s="40">
        <f t="shared" si="174"/>
        <v>15.115349999999999</v>
      </c>
      <c r="M529" s="40">
        <f t="shared" si="174"/>
        <v>0.75</v>
      </c>
      <c r="N529" s="40">
        <f t="shared" si="174"/>
        <v>15.865349999999999</v>
      </c>
      <c r="O529" s="40">
        <f t="shared" si="174"/>
        <v>0.75</v>
      </c>
      <c r="P529" s="40">
        <f>SUM(P523:P528)</f>
        <v>16.615349999999999</v>
      </c>
      <c r="Q529" s="40">
        <f t="shared" si="174"/>
        <v>0.75</v>
      </c>
      <c r="R529" s="40">
        <f t="shared" si="174"/>
        <v>30.197350000000004</v>
      </c>
      <c r="S529" s="40">
        <f t="shared" si="174"/>
        <v>13.582000000000001</v>
      </c>
      <c r="T529" s="40">
        <f t="shared" si="174"/>
        <v>0</v>
      </c>
      <c r="U529" s="40">
        <f t="shared" si="174"/>
        <v>0</v>
      </c>
      <c r="V529" s="40">
        <f t="shared" si="174"/>
        <v>0</v>
      </c>
      <c r="W529" s="40">
        <f t="shared" si="174"/>
        <v>0</v>
      </c>
      <c r="X529" s="40"/>
      <c r="Y529" s="40">
        <f t="shared" si="174"/>
        <v>30.197350000000004</v>
      </c>
      <c r="Z529" s="401">
        <f t="shared" si="172"/>
        <v>81.614459459459468</v>
      </c>
      <c r="AA529" s="401">
        <f>(Y529/D529)*100</f>
        <v>81.614459459459468</v>
      </c>
      <c r="AB529"/>
      <c r="AC529" s="524"/>
    </row>
    <row r="530" spans="1:29" ht="15.75">
      <c r="B530" s="55"/>
      <c r="C530" s="512"/>
      <c r="D530" s="51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/>
    </row>
    <row r="531" spans="1:29">
      <c r="B531" s="61" t="s">
        <v>486</v>
      </c>
      <c r="C531" s="19">
        <f>SUM(C520+C529)</f>
        <v>589</v>
      </c>
      <c r="D531" s="19">
        <f>SUM(D520+D529)</f>
        <v>647.85</v>
      </c>
      <c r="E531" s="20">
        <f>SUM(E520+E529)</f>
        <v>124.49490000000002</v>
      </c>
      <c r="F531" s="20">
        <f t="shared" ref="F531:Y531" si="175">SUM(F520+F529)</f>
        <v>170.83543000000003</v>
      </c>
      <c r="G531" s="20">
        <f t="shared" si="175"/>
        <v>46.340530000000001</v>
      </c>
      <c r="H531" s="20">
        <f t="shared" si="175"/>
        <v>283.62732</v>
      </c>
      <c r="I531" s="20">
        <f t="shared" si="175"/>
        <v>112.79189</v>
      </c>
      <c r="J531" s="20">
        <f t="shared" si="175"/>
        <v>332.98169999999999</v>
      </c>
      <c r="K531" s="20">
        <f t="shared" si="175"/>
        <v>49.354379999999999</v>
      </c>
      <c r="L531" s="20">
        <f t="shared" si="175"/>
        <v>359.54349000000002</v>
      </c>
      <c r="M531" s="20">
        <f t="shared" si="175"/>
        <v>26.561789999999998</v>
      </c>
      <c r="N531" s="20">
        <f t="shared" si="175"/>
        <v>367.35505999999992</v>
      </c>
      <c r="O531" s="20">
        <f t="shared" si="175"/>
        <v>7.8115700000000032</v>
      </c>
      <c r="P531" s="20">
        <f t="shared" si="175"/>
        <v>392.47537999999997</v>
      </c>
      <c r="Q531" s="20">
        <f t="shared" si="175"/>
        <v>25.120319999999992</v>
      </c>
      <c r="R531" s="20">
        <f t="shared" si="175"/>
        <v>471.42589000000004</v>
      </c>
      <c r="S531" s="20">
        <f t="shared" si="175"/>
        <v>78.950510000000008</v>
      </c>
      <c r="T531" s="20">
        <f t="shared" si="175"/>
        <v>0</v>
      </c>
      <c r="U531" s="20">
        <f t="shared" si="175"/>
        <v>0</v>
      </c>
      <c r="V531" s="20">
        <f t="shared" si="175"/>
        <v>0</v>
      </c>
      <c r="W531" s="20">
        <f t="shared" si="175"/>
        <v>0</v>
      </c>
      <c r="X531" s="20"/>
      <c r="Y531" s="20">
        <f t="shared" si="175"/>
        <v>471.42589000000004</v>
      </c>
      <c r="Z531" s="479">
        <v>0</v>
      </c>
      <c r="AA531" s="18">
        <f>(Y531/D531)*100</f>
        <v>72.767753337964038</v>
      </c>
      <c r="AB531"/>
    </row>
    <row r="532" spans="1:29" ht="17.25" customHeight="1">
      <c r="B532" s="4"/>
      <c r="C532" s="5"/>
      <c r="D532" s="5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395"/>
      <c r="AB532"/>
    </row>
    <row r="533" spans="1:29" ht="17.25" customHeight="1">
      <c r="B533" s="4"/>
      <c r="C533" s="5"/>
      <c r="D533" s="5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395"/>
      <c r="AB533"/>
    </row>
    <row r="534" spans="1:29" ht="42" customHeight="1">
      <c r="A534" s="75" t="s">
        <v>313</v>
      </c>
      <c r="B534" s="8" t="s">
        <v>487</v>
      </c>
      <c r="C534" s="507" t="s">
        <v>524</v>
      </c>
      <c r="D534" s="508" t="s">
        <v>315</v>
      </c>
      <c r="E534" s="393" t="s">
        <v>523</v>
      </c>
      <c r="F534" s="393" t="s">
        <v>525</v>
      </c>
      <c r="G534" s="460" t="s">
        <v>534</v>
      </c>
      <c r="H534" s="393" t="s">
        <v>526</v>
      </c>
      <c r="I534" s="460" t="s">
        <v>535</v>
      </c>
      <c r="J534" s="393" t="s">
        <v>527</v>
      </c>
      <c r="K534" s="460" t="s">
        <v>536</v>
      </c>
      <c r="L534" s="393" t="s">
        <v>528</v>
      </c>
      <c r="M534" s="460" t="s">
        <v>537</v>
      </c>
      <c r="N534" s="393" t="s">
        <v>529</v>
      </c>
      <c r="O534" s="460" t="s">
        <v>538</v>
      </c>
      <c r="P534" s="393" t="s">
        <v>530</v>
      </c>
      <c r="Q534" s="460" t="s">
        <v>539</v>
      </c>
      <c r="R534" s="393" t="s">
        <v>531</v>
      </c>
      <c r="S534" s="460" t="s">
        <v>540</v>
      </c>
      <c r="T534" s="393" t="s">
        <v>532</v>
      </c>
      <c r="U534" s="460" t="s">
        <v>541</v>
      </c>
      <c r="V534" s="393" t="s">
        <v>533</v>
      </c>
      <c r="W534" s="460" t="s">
        <v>542</v>
      </c>
      <c r="X534" s="10"/>
      <c r="Y534" s="393" t="s">
        <v>543</v>
      </c>
      <c r="Z534" s="10" t="s">
        <v>309</v>
      </c>
      <c r="AA534" s="396" t="s">
        <v>7</v>
      </c>
      <c r="AB534"/>
    </row>
    <row r="535" spans="1:29">
      <c r="A535" s="75" t="s">
        <v>488</v>
      </c>
      <c r="B535" s="11" t="s">
        <v>489</v>
      </c>
      <c r="C535" s="31">
        <v>1300</v>
      </c>
      <c r="D535" s="31">
        <v>1300</v>
      </c>
      <c r="E535" s="14">
        <v>266.642</v>
      </c>
      <c r="F535" s="14">
        <v>360.524</v>
      </c>
      <c r="G535" s="14">
        <f>F535-E535</f>
        <v>93.882000000000005</v>
      </c>
      <c r="H535" s="14">
        <v>458.12599999999998</v>
      </c>
      <c r="I535" s="14">
        <f>H535-F535</f>
        <v>97.601999999999975</v>
      </c>
      <c r="J535" s="14">
        <v>552.10799999999995</v>
      </c>
      <c r="K535" s="25">
        <f>J535-H535</f>
        <v>93.981999999999971</v>
      </c>
      <c r="L535" s="14">
        <v>645.95000000000005</v>
      </c>
      <c r="M535" s="34">
        <f>L535-J535</f>
        <v>93.842000000000098</v>
      </c>
      <c r="N535" s="14">
        <v>739.96199999999999</v>
      </c>
      <c r="O535" s="34">
        <f>N535-L535</f>
        <v>94.011999999999944</v>
      </c>
      <c r="P535" s="14">
        <v>871.88099999999997</v>
      </c>
      <c r="Q535" s="25">
        <f>P535-N535</f>
        <v>131.91899999999998</v>
      </c>
      <c r="R535" s="14">
        <v>969.23199999999997</v>
      </c>
      <c r="S535" s="34">
        <f>R535-P535</f>
        <v>97.350999999999999</v>
      </c>
      <c r="T535" s="14"/>
      <c r="U535" s="14"/>
      <c r="V535" s="14"/>
      <c r="W535" s="14"/>
      <c r="X535" s="14"/>
      <c r="Y535" s="25">
        <f>E535+G535+I535+K535+M535+O535+Q535+S535+U535+W535</f>
        <v>969.23199999999997</v>
      </c>
      <c r="Z535" s="26">
        <f>(Y535/C535)*100</f>
        <v>74.556307692307684</v>
      </c>
      <c r="AA535" s="26">
        <f>(Y535/D535)*100</f>
        <v>74.556307692307684</v>
      </c>
      <c r="AB535"/>
    </row>
    <row r="536" spans="1:29">
      <c r="B536" s="11" t="s">
        <v>490</v>
      </c>
      <c r="C536" s="31">
        <v>410</v>
      </c>
      <c r="D536" s="31">
        <v>410</v>
      </c>
      <c r="E536" s="14">
        <v>81.566000000000003</v>
      </c>
      <c r="F536" s="14">
        <v>109.18600000000001</v>
      </c>
      <c r="G536" s="14">
        <f>F536-E536</f>
        <v>27.620000000000005</v>
      </c>
      <c r="H536" s="14">
        <v>138.066</v>
      </c>
      <c r="I536" s="14">
        <f>H536-F536</f>
        <v>28.879999999999995</v>
      </c>
      <c r="J536" s="14">
        <v>165.68600000000001</v>
      </c>
      <c r="K536" s="25">
        <f>J536-H536</f>
        <v>27.620000000000005</v>
      </c>
      <c r="L536" s="14">
        <v>193.30600000000001</v>
      </c>
      <c r="M536" s="34">
        <f>L536-J536</f>
        <v>27.620000000000005</v>
      </c>
      <c r="N536" s="14">
        <v>220.92599999999999</v>
      </c>
      <c r="O536" s="34">
        <f>N536-L536</f>
        <v>27.619999999999976</v>
      </c>
      <c r="P536" s="14">
        <v>261.98599999999999</v>
      </c>
      <c r="Q536" s="25">
        <f>P536-N536</f>
        <v>41.06</v>
      </c>
      <c r="R536" s="14">
        <v>290.86599999999999</v>
      </c>
      <c r="S536" s="34">
        <f>R536-P536</f>
        <v>28.879999999999995</v>
      </c>
      <c r="T536" s="14"/>
      <c r="U536" s="14"/>
      <c r="V536" s="14"/>
      <c r="W536" s="14"/>
      <c r="X536" s="14"/>
      <c r="Y536" s="25">
        <f>E536+G536+I536+K536+M536+O536+Q536+S536+U536+W536</f>
        <v>290.86599999999999</v>
      </c>
      <c r="Z536" s="26">
        <f>(Y536/C536)*100</f>
        <v>70.942926829268288</v>
      </c>
      <c r="AA536" s="26">
        <f>(Y536/D536)*100</f>
        <v>70.942926829268288</v>
      </c>
      <c r="AB536"/>
    </row>
    <row r="537" spans="1:29">
      <c r="B537" s="11" t="s">
        <v>491</v>
      </c>
      <c r="C537" s="31">
        <v>190</v>
      </c>
      <c r="D537" s="31">
        <v>190</v>
      </c>
      <c r="E537" s="14">
        <v>42.19</v>
      </c>
      <c r="F537" s="14">
        <v>56.438000000000002</v>
      </c>
      <c r="G537" s="14">
        <f>F537-E537</f>
        <v>14.248000000000005</v>
      </c>
      <c r="H537" s="14">
        <v>71.225999999999999</v>
      </c>
      <c r="I537" s="14">
        <f>H537-F537</f>
        <v>14.787999999999997</v>
      </c>
      <c r="J537" s="14">
        <v>85.474000000000004</v>
      </c>
      <c r="K537" s="25">
        <f>J537-H537</f>
        <v>14.248000000000005</v>
      </c>
      <c r="L537" s="14">
        <v>99.721999999999994</v>
      </c>
      <c r="M537" s="34">
        <f>L537-J537</f>
        <v>14.24799999999999</v>
      </c>
      <c r="N537" s="14">
        <v>113.97</v>
      </c>
      <c r="O537" s="34">
        <f>N537-L537</f>
        <v>14.248000000000005</v>
      </c>
      <c r="P537" s="14">
        <v>133.977</v>
      </c>
      <c r="Q537" s="25">
        <f>P537-N537</f>
        <v>20.007000000000005</v>
      </c>
      <c r="R537" s="14">
        <v>148.76499999999999</v>
      </c>
      <c r="S537" s="34">
        <f>R537-P537</f>
        <v>14.787999999999982</v>
      </c>
      <c r="T537" s="14"/>
      <c r="U537" s="14"/>
      <c r="V537" s="14"/>
      <c r="W537" s="14"/>
      <c r="X537" s="14"/>
      <c r="Y537" s="25">
        <f>E537+G537+I537+K537+M537+O537+Q537+S537+U537+W537</f>
        <v>148.76499999999999</v>
      </c>
      <c r="Z537" s="26">
        <f>(Y537/C537)*100</f>
        <v>78.297368421052624</v>
      </c>
      <c r="AA537" s="26">
        <f>(Y537/D537)*100</f>
        <v>78.297368421052624</v>
      </c>
      <c r="AB537"/>
    </row>
    <row r="538" spans="1:29">
      <c r="B538" s="18" t="s">
        <v>10</v>
      </c>
      <c r="C538" s="19">
        <f>SUM(C535:C537)</f>
        <v>1900</v>
      </c>
      <c r="D538" s="19">
        <f>SUM(D535:D537)</f>
        <v>1900</v>
      </c>
      <c r="E538" s="20">
        <f>SUM(E535:E537)</f>
        <v>390.39799999999997</v>
      </c>
      <c r="F538" s="20">
        <f t="shared" ref="F538:Y538" si="176">SUM(F535:F537)</f>
        <v>526.14800000000002</v>
      </c>
      <c r="G538" s="20">
        <f t="shared" si="176"/>
        <v>135.75</v>
      </c>
      <c r="H538" s="20">
        <f t="shared" si="176"/>
        <v>667.41800000000001</v>
      </c>
      <c r="I538" s="20">
        <f t="shared" si="176"/>
        <v>141.26999999999998</v>
      </c>
      <c r="J538" s="20">
        <f t="shared" si="176"/>
        <v>803.26800000000003</v>
      </c>
      <c r="K538" s="20">
        <f t="shared" si="176"/>
        <v>135.84999999999997</v>
      </c>
      <c r="L538" s="20">
        <f t="shared" si="176"/>
        <v>938.97800000000007</v>
      </c>
      <c r="M538" s="20">
        <f t="shared" si="176"/>
        <v>135.71000000000009</v>
      </c>
      <c r="N538" s="20">
        <f t="shared" si="176"/>
        <v>1074.8579999999999</v>
      </c>
      <c r="O538" s="20">
        <f t="shared" si="176"/>
        <v>135.87999999999994</v>
      </c>
      <c r="P538" s="76">
        <f t="shared" si="176"/>
        <v>1267.8440000000001</v>
      </c>
      <c r="Q538" s="76">
        <f t="shared" si="176"/>
        <v>192.98599999999999</v>
      </c>
      <c r="R538" s="76">
        <f t="shared" si="176"/>
        <v>1408.8629999999998</v>
      </c>
      <c r="S538" s="20">
        <f t="shared" si="176"/>
        <v>141.01899999999998</v>
      </c>
      <c r="T538" s="20">
        <f t="shared" si="176"/>
        <v>0</v>
      </c>
      <c r="U538" s="20">
        <f t="shared" si="176"/>
        <v>0</v>
      </c>
      <c r="V538" s="20">
        <f t="shared" si="176"/>
        <v>0</v>
      </c>
      <c r="W538" s="20">
        <f t="shared" si="176"/>
        <v>0</v>
      </c>
      <c r="X538" s="20"/>
      <c r="Y538" s="76">
        <f t="shared" si="176"/>
        <v>1408.8629999999998</v>
      </c>
      <c r="Z538" s="18">
        <f>(Y538/C538)*100</f>
        <v>74.150684210526308</v>
      </c>
      <c r="AA538" s="18">
        <f>(Y538/D538)*100</f>
        <v>74.150684210526308</v>
      </c>
      <c r="AB538"/>
    </row>
    <row r="539" spans="1:29" ht="17.25" customHeight="1">
      <c r="B539" s="4"/>
      <c r="C539" s="5"/>
      <c r="D539" s="5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395"/>
      <c r="AB539"/>
    </row>
    <row r="540" spans="1:29" ht="17.25" customHeight="1">
      <c r="B540" s="4"/>
      <c r="C540" s="5"/>
      <c r="D540" s="5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395"/>
      <c r="AB540"/>
    </row>
    <row r="541" spans="1:29" ht="41.25" customHeight="1">
      <c r="A541" s="75" t="s">
        <v>313</v>
      </c>
      <c r="B541" s="488" t="s">
        <v>656</v>
      </c>
      <c r="C541" s="507" t="s">
        <v>524</v>
      </c>
      <c r="D541" s="508" t="s">
        <v>315</v>
      </c>
      <c r="E541" s="393" t="s">
        <v>523</v>
      </c>
      <c r="F541" s="393" t="s">
        <v>525</v>
      </c>
      <c r="G541" s="460" t="s">
        <v>534</v>
      </c>
      <c r="H541" s="393" t="s">
        <v>526</v>
      </c>
      <c r="I541" s="460" t="s">
        <v>535</v>
      </c>
      <c r="J541" s="393" t="s">
        <v>527</v>
      </c>
      <c r="K541" s="460" t="s">
        <v>536</v>
      </c>
      <c r="L541" s="393" t="s">
        <v>528</v>
      </c>
      <c r="M541" s="460" t="s">
        <v>537</v>
      </c>
      <c r="N541" s="393" t="s">
        <v>529</v>
      </c>
      <c r="O541" s="460" t="s">
        <v>538</v>
      </c>
      <c r="P541" s="393" t="s">
        <v>530</v>
      </c>
      <c r="Q541" s="460" t="s">
        <v>539</v>
      </c>
      <c r="R541" s="393" t="s">
        <v>531</v>
      </c>
      <c r="S541" s="460" t="s">
        <v>540</v>
      </c>
      <c r="T541" s="393" t="s">
        <v>532</v>
      </c>
      <c r="U541" s="460" t="s">
        <v>541</v>
      </c>
      <c r="V541" s="393" t="s">
        <v>533</v>
      </c>
      <c r="W541" s="460" t="s">
        <v>542</v>
      </c>
      <c r="X541" s="10"/>
      <c r="Y541" s="393" t="s">
        <v>543</v>
      </c>
      <c r="Z541" s="10" t="s">
        <v>309</v>
      </c>
      <c r="AA541" s="396" t="s">
        <v>7</v>
      </c>
      <c r="AB541"/>
      <c r="AC541" s="570"/>
    </row>
    <row r="542" spans="1:29">
      <c r="A542" s="483" t="s">
        <v>655</v>
      </c>
      <c r="B542" s="11" t="s">
        <v>410</v>
      </c>
      <c r="C542" s="64"/>
      <c r="D542" s="13">
        <v>10</v>
      </c>
      <c r="E542" s="14"/>
      <c r="F542" s="14"/>
      <c r="G542" s="14"/>
      <c r="H542" s="14"/>
      <c r="I542" s="14">
        <f>H542-F542</f>
        <v>0</v>
      </c>
      <c r="J542" s="14"/>
      <c r="K542" s="25">
        <f t="shared" ref="K542:K552" si="177">J542-H542</f>
        <v>0</v>
      </c>
      <c r="L542" s="14"/>
      <c r="M542" s="34">
        <f t="shared" ref="M542:M552" si="178">L542-J542</f>
        <v>0</v>
      </c>
      <c r="N542" s="14"/>
      <c r="O542" s="34">
        <f t="shared" ref="O542:O552" si="179">N542-L542</f>
        <v>0</v>
      </c>
      <c r="P542" s="14"/>
      <c r="Q542" s="14"/>
      <c r="R542" s="14"/>
      <c r="S542" s="34">
        <f t="shared" ref="S542:S552" si="180">R542-P542</f>
        <v>0</v>
      </c>
      <c r="T542" s="14"/>
      <c r="U542" s="14"/>
      <c r="V542" s="14"/>
      <c r="W542" s="14"/>
      <c r="X542" s="14"/>
      <c r="Y542" s="25">
        <f t="shared" ref="Y542:Y552" si="181">E542+G542+I542+K542+M542+O542+Q542+S542+U542+W542</f>
        <v>0</v>
      </c>
      <c r="Z542" s="26"/>
      <c r="AA542" s="26">
        <f t="shared" ref="AA542:AA553" si="182">(Y542/D542)*100</f>
        <v>0</v>
      </c>
      <c r="AB542"/>
      <c r="AC542" s="570"/>
    </row>
    <row r="543" spans="1:29" hidden="1">
      <c r="B543" s="11" t="s">
        <v>492</v>
      </c>
      <c r="C543" s="64"/>
      <c r="D543" s="13"/>
      <c r="E543" s="14"/>
      <c r="F543" s="14"/>
      <c r="G543" s="14"/>
      <c r="H543" s="14"/>
      <c r="I543" s="14">
        <f t="shared" ref="I543:I552" si="183">H543-F543</f>
        <v>0</v>
      </c>
      <c r="J543" s="14"/>
      <c r="K543" s="25">
        <f t="shared" si="177"/>
        <v>0</v>
      </c>
      <c r="L543" s="14"/>
      <c r="M543" s="34">
        <f t="shared" si="178"/>
        <v>0</v>
      </c>
      <c r="N543" s="14"/>
      <c r="O543" s="34">
        <f t="shared" si="179"/>
        <v>0</v>
      </c>
      <c r="P543" s="14"/>
      <c r="Q543" s="14"/>
      <c r="R543" s="14"/>
      <c r="S543" s="34">
        <f t="shared" si="180"/>
        <v>0</v>
      </c>
      <c r="T543" s="14"/>
      <c r="U543" s="14"/>
      <c r="V543" s="14"/>
      <c r="W543" s="14"/>
      <c r="X543" s="14"/>
      <c r="Y543" s="25">
        <f t="shared" si="181"/>
        <v>0</v>
      </c>
      <c r="Z543" s="26"/>
      <c r="AA543" s="26" t="e">
        <f t="shared" si="182"/>
        <v>#DIV/0!</v>
      </c>
      <c r="AB543"/>
      <c r="AC543" s="570"/>
    </row>
    <row r="544" spans="1:29">
      <c r="B544" s="11" t="s">
        <v>325</v>
      </c>
      <c r="C544" s="64"/>
      <c r="D544" s="13">
        <v>59.48</v>
      </c>
      <c r="E544" s="14"/>
      <c r="F544" s="14"/>
      <c r="G544" s="14"/>
      <c r="H544" s="14"/>
      <c r="I544" s="14">
        <f t="shared" si="183"/>
        <v>0</v>
      </c>
      <c r="J544" s="14"/>
      <c r="K544" s="25">
        <f t="shared" si="177"/>
        <v>0</v>
      </c>
      <c r="L544" s="14"/>
      <c r="M544" s="34">
        <f t="shared" si="178"/>
        <v>0</v>
      </c>
      <c r="N544" s="14"/>
      <c r="O544" s="34">
        <f t="shared" si="179"/>
        <v>0</v>
      </c>
      <c r="P544" s="14"/>
      <c r="Q544" s="14"/>
      <c r="R544" s="14"/>
      <c r="S544" s="34">
        <f t="shared" si="180"/>
        <v>0</v>
      </c>
      <c r="T544" s="14"/>
      <c r="U544" s="14"/>
      <c r="V544" s="14"/>
      <c r="W544" s="14"/>
      <c r="X544" s="14"/>
      <c r="Y544" s="25">
        <f t="shared" si="181"/>
        <v>0</v>
      </c>
      <c r="Z544" s="26"/>
      <c r="AA544" s="26">
        <f t="shared" si="182"/>
        <v>0</v>
      </c>
      <c r="AB544"/>
      <c r="AC544" s="570"/>
    </row>
    <row r="545" spans="1:29" hidden="1">
      <c r="B545" s="11" t="s">
        <v>479</v>
      </c>
      <c r="C545" s="64"/>
      <c r="D545" s="13"/>
      <c r="E545" s="14"/>
      <c r="F545" s="14"/>
      <c r="G545" s="14"/>
      <c r="H545" s="14"/>
      <c r="I545" s="14">
        <f t="shared" si="183"/>
        <v>0</v>
      </c>
      <c r="J545" s="14"/>
      <c r="K545" s="25">
        <f t="shared" si="177"/>
        <v>0</v>
      </c>
      <c r="L545" s="14"/>
      <c r="M545" s="34">
        <f t="shared" si="178"/>
        <v>0</v>
      </c>
      <c r="N545" s="14"/>
      <c r="O545" s="34">
        <f t="shared" si="179"/>
        <v>0</v>
      </c>
      <c r="P545" s="14"/>
      <c r="Q545" s="14"/>
      <c r="R545" s="14"/>
      <c r="S545" s="34">
        <f t="shared" si="180"/>
        <v>0</v>
      </c>
      <c r="T545" s="14"/>
      <c r="U545" s="14"/>
      <c r="V545" s="14"/>
      <c r="W545" s="14"/>
      <c r="X545" s="14"/>
      <c r="Y545" s="25">
        <f t="shared" si="181"/>
        <v>0</v>
      </c>
      <c r="Z545" s="26"/>
      <c r="AA545" s="26" t="e">
        <f t="shared" si="182"/>
        <v>#DIV/0!</v>
      </c>
      <c r="AB545"/>
      <c r="AC545"/>
    </row>
    <row r="546" spans="1:29" hidden="1">
      <c r="B546" s="11" t="s">
        <v>327</v>
      </c>
      <c r="C546" s="64"/>
      <c r="D546" s="13"/>
      <c r="E546" s="14"/>
      <c r="F546" s="14"/>
      <c r="G546" s="14"/>
      <c r="H546" s="14"/>
      <c r="I546" s="14">
        <f t="shared" si="183"/>
        <v>0</v>
      </c>
      <c r="J546" s="14"/>
      <c r="K546" s="25">
        <f t="shared" si="177"/>
        <v>0</v>
      </c>
      <c r="L546" s="14"/>
      <c r="M546" s="34">
        <f t="shared" si="178"/>
        <v>0</v>
      </c>
      <c r="N546" s="14"/>
      <c r="O546" s="34">
        <f t="shared" si="179"/>
        <v>0</v>
      </c>
      <c r="P546" s="14"/>
      <c r="Q546" s="14"/>
      <c r="R546" s="14"/>
      <c r="S546" s="34">
        <f t="shared" si="180"/>
        <v>0</v>
      </c>
      <c r="T546" s="14"/>
      <c r="U546" s="14"/>
      <c r="V546" s="14"/>
      <c r="W546" s="14"/>
      <c r="X546" s="14"/>
      <c r="Y546" s="25">
        <f t="shared" si="181"/>
        <v>0</v>
      </c>
      <c r="Z546" s="26"/>
      <c r="AA546" s="26" t="e">
        <f t="shared" si="182"/>
        <v>#DIV/0!</v>
      </c>
      <c r="AB546"/>
      <c r="AC546"/>
    </row>
    <row r="547" spans="1:29">
      <c r="B547" s="11" t="s">
        <v>331</v>
      </c>
      <c r="C547" s="64"/>
      <c r="D547" s="13">
        <v>2.19</v>
      </c>
      <c r="E547" s="14"/>
      <c r="F547" s="14"/>
      <c r="G547" s="14"/>
      <c r="H547" s="14"/>
      <c r="I547" s="14">
        <f t="shared" si="183"/>
        <v>0</v>
      </c>
      <c r="J547" s="14"/>
      <c r="K547" s="25">
        <f t="shared" si="177"/>
        <v>0</v>
      </c>
      <c r="L547" s="14"/>
      <c r="M547" s="34">
        <f t="shared" si="178"/>
        <v>0</v>
      </c>
      <c r="N547" s="14"/>
      <c r="O547" s="34">
        <f t="shared" si="179"/>
        <v>0</v>
      </c>
      <c r="P547" s="14"/>
      <c r="Q547" s="14"/>
      <c r="R547" s="14">
        <v>2.1819999999999999</v>
      </c>
      <c r="S547" s="34">
        <f t="shared" si="180"/>
        <v>2.1819999999999999</v>
      </c>
      <c r="T547" s="14"/>
      <c r="U547" s="14"/>
      <c r="V547" s="14"/>
      <c r="W547" s="14"/>
      <c r="X547" s="14"/>
      <c r="Y547" s="25">
        <f t="shared" si="181"/>
        <v>2.1819999999999999</v>
      </c>
      <c r="Z547" s="26"/>
      <c r="AA547" s="26">
        <f t="shared" si="182"/>
        <v>99.634703196347033</v>
      </c>
      <c r="AB547"/>
      <c r="AC547"/>
    </row>
    <row r="548" spans="1:29" hidden="1">
      <c r="B548" s="11" t="s">
        <v>332</v>
      </c>
      <c r="C548" s="64"/>
      <c r="D548" s="13"/>
      <c r="E548" s="14"/>
      <c r="F548" s="14"/>
      <c r="G548" s="14"/>
      <c r="H548" s="14"/>
      <c r="I548" s="14">
        <f t="shared" si="183"/>
        <v>0</v>
      </c>
      <c r="J548" s="14"/>
      <c r="K548" s="25">
        <f t="shared" si="177"/>
        <v>0</v>
      </c>
      <c r="L548" s="14"/>
      <c r="M548" s="34">
        <f t="shared" si="178"/>
        <v>0</v>
      </c>
      <c r="N548" s="14"/>
      <c r="O548" s="34">
        <f t="shared" si="179"/>
        <v>0</v>
      </c>
      <c r="P548" s="14"/>
      <c r="Q548" s="14"/>
      <c r="R548" s="14"/>
      <c r="S548" s="34">
        <f t="shared" si="180"/>
        <v>0</v>
      </c>
      <c r="T548" s="14"/>
      <c r="U548" s="14"/>
      <c r="V548" s="14"/>
      <c r="W548" s="14"/>
      <c r="X548" s="14"/>
      <c r="Y548" s="25">
        <f t="shared" si="181"/>
        <v>0</v>
      </c>
      <c r="Z548" s="26"/>
      <c r="AA548" s="26" t="e">
        <f t="shared" si="182"/>
        <v>#DIV/0!</v>
      </c>
      <c r="AB548"/>
      <c r="AC548"/>
    </row>
    <row r="549" spans="1:29">
      <c r="B549" s="11" t="s">
        <v>412</v>
      </c>
      <c r="C549" s="64"/>
      <c r="D549" s="13">
        <v>5</v>
      </c>
      <c r="E549" s="14"/>
      <c r="F549" s="14"/>
      <c r="G549" s="14"/>
      <c r="H549" s="14"/>
      <c r="I549" s="14">
        <f t="shared" si="183"/>
        <v>0</v>
      </c>
      <c r="J549" s="14"/>
      <c r="K549" s="25">
        <f t="shared" si="177"/>
        <v>0</v>
      </c>
      <c r="L549" s="14"/>
      <c r="M549" s="34">
        <f t="shared" si="178"/>
        <v>0</v>
      </c>
      <c r="N549" s="14"/>
      <c r="O549" s="34">
        <f t="shared" si="179"/>
        <v>0</v>
      </c>
      <c r="P549" s="14"/>
      <c r="Q549" s="14"/>
      <c r="R549" s="14">
        <v>4.7169999999999996</v>
      </c>
      <c r="S549" s="34">
        <f t="shared" si="180"/>
        <v>4.7169999999999996</v>
      </c>
      <c r="T549" s="14"/>
      <c r="U549" s="14"/>
      <c r="V549" s="14"/>
      <c r="W549" s="14"/>
      <c r="X549" s="14"/>
      <c r="Y549" s="25">
        <f t="shared" si="181"/>
        <v>4.7169999999999996</v>
      </c>
      <c r="Z549" s="26"/>
      <c r="AA549" s="26">
        <f t="shared" si="182"/>
        <v>94.339999999999989</v>
      </c>
      <c r="AB549"/>
      <c r="AC549"/>
    </row>
    <row r="550" spans="1:29">
      <c r="B550" s="75" t="s">
        <v>425</v>
      </c>
      <c r="C550" s="64"/>
      <c r="D550" s="13">
        <v>5</v>
      </c>
      <c r="E550" s="14"/>
      <c r="F550" s="14"/>
      <c r="G550" s="14"/>
      <c r="H550" s="14"/>
      <c r="I550" s="14">
        <f t="shared" si="183"/>
        <v>0</v>
      </c>
      <c r="J550" s="14"/>
      <c r="K550" s="25">
        <f t="shared" si="177"/>
        <v>0</v>
      </c>
      <c r="L550" s="14"/>
      <c r="M550" s="34">
        <f t="shared" si="178"/>
        <v>0</v>
      </c>
      <c r="N550" s="14"/>
      <c r="O550" s="34">
        <f t="shared" si="179"/>
        <v>0</v>
      </c>
      <c r="P550" s="14"/>
      <c r="Q550" s="14"/>
      <c r="R550" s="14">
        <v>4.84</v>
      </c>
      <c r="S550" s="34">
        <f t="shared" si="180"/>
        <v>4.84</v>
      </c>
      <c r="T550" s="14"/>
      <c r="U550" s="14"/>
      <c r="V550" s="14"/>
      <c r="W550" s="14"/>
      <c r="X550" s="14"/>
      <c r="Y550" s="25">
        <f t="shared" si="181"/>
        <v>4.84</v>
      </c>
      <c r="Z550" s="26"/>
      <c r="AA550" s="26">
        <f t="shared" si="182"/>
        <v>96.8</v>
      </c>
      <c r="AB550"/>
      <c r="AC550"/>
    </row>
    <row r="551" spans="1:29">
      <c r="B551" s="11" t="s">
        <v>320</v>
      </c>
      <c r="C551" s="64"/>
      <c r="D551" s="13">
        <v>0.5</v>
      </c>
      <c r="E551" s="14"/>
      <c r="F551" s="14"/>
      <c r="G551" s="14"/>
      <c r="H551" s="14"/>
      <c r="I551" s="14"/>
      <c r="J551" s="14"/>
      <c r="K551" s="25"/>
      <c r="L551" s="14"/>
      <c r="M551" s="34"/>
      <c r="N551" s="14"/>
      <c r="O551" s="34"/>
      <c r="P551" s="14"/>
      <c r="Q551" s="14"/>
      <c r="R551" s="14">
        <v>0.09</v>
      </c>
      <c r="S551" s="34">
        <f t="shared" si="180"/>
        <v>0.09</v>
      </c>
      <c r="T551" s="14"/>
      <c r="U551" s="14"/>
      <c r="V551" s="14"/>
      <c r="W551" s="14"/>
      <c r="X551" s="14"/>
      <c r="Y551" s="25">
        <f t="shared" si="181"/>
        <v>0.09</v>
      </c>
      <c r="Z551" s="26"/>
      <c r="AA551" s="26"/>
      <c r="AB551"/>
      <c r="AC551"/>
    </row>
    <row r="552" spans="1:29">
      <c r="B552" s="17" t="s">
        <v>499</v>
      </c>
      <c r="C552" s="64"/>
      <c r="D552" s="13">
        <v>3.83</v>
      </c>
      <c r="E552" s="14"/>
      <c r="F552" s="14"/>
      <c r="G552" s="14"/>
      <c r="H552" s="14"/>
      <c r="I552" s="14">
        <f t="shared" si="183"/>
        <v>0</v>
      </c>
      <c r="J552" s="14"/>
      <c r="K552" s="25">
        <f t="shared" si="177"/>
        <v>0</v>
      </c>
      <c r="L552" s="14"/>
      <c r="M552" s="34">
        <f t="shared" si="178"/>
        <v>0</v>
      </c>
      <c r="N552" s="14"/>
      <c r="O552" s="34">
        <f t="shared" si="179"/>
        <v>0</v>
      </c>
      <c r="P552" s="14"/>
      <c r="Q552" s="14"/>
      <c r="R552" s="14">
        <v>3.8279999999999998</v>
      </c>
      <c r="S552" s="34">
        <f t="shared" si="180"/>
        <v>3.8279999999999998</v>
      </c>
      <c r="T552" s="14"/>
      <c r="U552" s="14"/>
      <c r="V552" s="14"/>
      <c r="W552" s="14"/>
      <c r="X552" s="14"/>
      <c r="Y552" s="25">
        <f t="shared" si="181"/>
        <v>3.8279999999999998</v>
      </c>
      <c r="Z552" s="26"/>
      <c r="AA552" s="26">
        <f t="shared" si="182"/>
        <v>99.947780678851174</v>
      </c>
      <c r="AB552"/>
      <c r="AC552"/>
    </row>
    <row r="553" spans="1:29">
      <c r="B553" s="18" t="s">
        <v>10</v>
      </c>
      <c r="C553" s="19">
        <f>SUM(C542:C552)</f>
        <v>0</v>
      </c>
      <c r="D553" s="19">
        <f>SUM(D542:D552)</f>
        <v>85.999999999999986</v>
      </c>
      <c r="E553" s="20">
        <f t="shared" ref="E553:W553" si="184">SUM(E542:E552)</f>
        <v>0</v>
      </c>
      <c r="F553" s="20">
        <f t="shared" si="184"/>
        <v>0</v>
      </c>
      <c r="G553" s="20">
        <f t="shared" si="184"/>
        <v>0</v>
      </c>
      <c r="H553" s="20">
        <f t="shared" si="184"/>
        <v>0</v>
      </c>
      <c r="I553" s="20">
        <f t="shared" si="184"/>
        <v>0</v>
      </c>
      <c r="J553" s="20">
        <f t="shared" si="184"/>
        <v>0</v>
      </c>
      <c r="K553" s="20">
        <f t="shared" si="184"/>
        <v>0</v>
      </c>
      <c r="L553" s="20">
        <f t="shared" si="184"/>
        <v>0</v>
      </c>
      <c r="M553" s="20">
        <f t="shared" si="184"/>
        <v>0</v>
      </c>
      <c r="N553" s="20">
        <f t="shared" si="184"/>
        <v>0</v>
      </c>
      <c r="O553" s="20">
        <f t="shared" si="184"/>
        <v>0</v>
      </c>
      <c r="P553" s="20">
        <f t="shared" si="184"/>
        <v>0</v>
      </c>
      <c r="Q553" s="20">
        <f t="shared" si="184"/>
        <v>0</v>
      </c>
      <c r="R553" s="20">
        <f t="shared" si="184"/>
        <v>15.656999999999998</v>
      </c>
      <c r="S553" s="20">
        <f t="shared" si="184"/>
        <v>15.656999999999998</v>
      </c>
      <c r="T553" s="20">
        <f t="shared" si="184"/>
        <v>0</v>
      </c>
      <c r="U553" s="20">
        <f t="shared" si="184"/>
        <v>0</v>
      </c>
      <c r="V553" s="20">
        <f t="shared" si="184"/>
        <v>0</v>
      </c>
      <c r="W553" s="20">
        <f t="shared" si="184"/>
        <v>0</v>
      </c>
      <c r="X553" s="20"/>
      <c r="Y553" s="20">
        <f>SUM(Y542:Y552)</f>
        <v>15.656999999999998</v>
      </c>
      <c r="Z553" s="18"/>
      <c r="AA553" s="18">
        <f t="shared" si="182"/>
        <v>18.205813953488374</v>
      </c>
      <c r="AB553"/>
      <c r="AC553"/>
    </row>
    <row r="554" spans="1:29" ht="17.25" customHeight="1">
      <c r="B554" s="4"/>
      <c r="C554" s="5"/>
      <c r="D554" s="5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395"/>
      <c r="AB554"/>
      <c r="AC554" s="570"/>
    </row>
    <row r="555" spans="1:29" ht="17.25" customHeight="1">
      <c r="B555" s="4"/>
      <c r="C555" s="5"/>
      <c r="D555" s="5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395"/>
      <c r="AB555"/>
      <c r="AC555" s="570"/>
    </row>
    <row r="556" spans="1:29" ht="41.25" customHeight="1">
      <c r="A556" s="75" t="s">
        <v>313</v>
      </c>
      <c r="B556" s="481" t="s">
        <v>557</v>
      </c>
      <c r="C556" s="507" t="s">
        <v>524</v>
      </c>
      <c r="D556" s="508" t="s">
        <v>315</v>
      </c>
      <c r="E556" s="393" t="s">
        <v>523</v>
      </c>
      <c r="F556" s="393" t="s">
        <v>525</v>
      </c>
      <c r="G556" s="460" t="s">
        <v>534</v>
      </c>
      <c r="H556" s="393" t="s">
        <v>526</v>
      </c>
      <c r="I556" s="460" t="s">
        <v>535</v>
      </c>
      <c r="J556" s="393" t="s">
        <v>527</v>
      </c>
      <c r="K556" s="460" t="s">
        <v>536</v>
      </c>
      <c r="L556" s="393" t="s">
        <v>528</v>
      </c>
      <c r="M556" s="460" t="s">
        <v>537</v>
      </c>
      <c r="N556" s="393" t="s">
        <v>529</v>
      </c>
      <c r="O556" s="460" t="s">
        <v>538</v>
      </c>
      <c r="P556" s="393" t="s">
        <v>530</v>
      </c>
      <c r="Q556" s="460" t="s">
        <v>539</v>
      </c>
      <c r="R556" s="393" t="s">
        <v>531</v>
      </c>
      <c r="S556" s="460" t="s">
        <v>540</v>
      </c>
      <c r="T556" s="393" t="s">
        <v>532</v>
      </c>
      <c r="U556" s="460" t="s">
        <v>541</v>
      </c>
      <c r="V556" s="393" t="s">
        <v>533</v>
      </c>
      <c r="W556" s="460" t="s">
        <v>542</v>
      </c>
      <c r="X556" s="10"/>
      <c r="Y556" s="393" t="s">
        <v>543</v>
      </c>
      <c r="Z556" s="10" t="s">
        <v>309</v>
      </c>
      <c r="AA556" s="396" t="s">
        <v>7</v>
      </c>
      <c r="AB556"/>
    </row>
    <row r="557" spans="1:29">
      <c r="A557" s="483" t="s">
        <v>618</v>
      </c>
      <c r="B557" s="11" t="s">
        <v>410</v>
      </c>
      <c r="C557" s="64"/>
      <c r="D557" s="13">
        <v>12.19</v>
      </c>
      <c r="E557" s="14"/>
      <c r="F557" s="14"/>
      <c r="G557" s="14"/>
      <c r="H557" s="14"/>
      <c r="I557" s="14">
        <f>H557-F557</f>
        <v>0</v>
      </c>
      <c r="J557" s="14">
        <v>10.102</v>
      </c>
      <c r="K557" s="25">
        <f t="shared" ref="K557:K566" si="185">J557-H557</f>
        <v>10.102</v>
      </c>
      <c r="L557" s="14">
        <v>10.102</v>
      </c>
      <c r="M557" s="34">
        <f t="shared" ref="M557:M566" si="186">L557-J557</f>
        <v>0</v>
      </c>
      <c r="N557" s="14">
        <v>10.102</v>
      </c>
      <c r="O557" s="34">
        <f t="shared" ref="O557:O566" si="187">N557-L557</f>
        <v>0</v>
      </c>
      <c r="P557" s="14">
        <v>10.102</v>
      </c>
      <c r="Q557" s="14"/>
      <c r="R557" s="14">
        <v>10.102</v>
      </c>
      <c r="S557" s="34">
        <f t="shared" ref="S557:S566" si="188">R557-P557</f>
        <v>0</v>
      </c>
      <c r="T557" s="14"/>
      <c r="U557" s="14"/>
      <c r="V557" s="14"/>
      <c r="W557" s="14"/>
      <c r="X557" s="14"/>
      <c r="Y557" s="25">
        <f t="shared" ref="Y557:Y566" si="189">E557+G557+I557+K557+M557+O557+Q557+S557+U557+W557</f>
        <v>10.102</v>
      </c>
      <c r="Z557" s="26"/>
      <c r="AA557" s="26">
        <f t="shared" ref="AA557:AA566" si="190">(Y557/D557)*100</f>
        <v>82.871205906480725</v>
      </c>
      <c r="AB557"/>
    </row>
    <row r="558" spans="1:29">
      <c r="B558" s="11" t="s">
        <v>492</v>
      </c>
      <c r="C558" s="64"/>
      <c r="D558" s="13"/>
      <c r="E558" s="14"/>
      <c r="F558" s="14"/>
      <c r="G558" s="14"/>
      <c r="H558" s="14"/>
      <c r="I558" s="14">
        <f t="shared" ref="I558:I566" si="191">H558-F558</f>
        <v>0</v>
      </c>
      <c r="J558" s="14"/>
      <c r="K558" s="25">
        <f t="shared" si="185"/>
        <v>0</v>
      </c>
      <c r="L558" s="14"/>
      <c r="M558" s="34">
        <f t="shared" si="186"/>
        <v>0</v>
      </c>
      <c r="N558" s="14"/>
      <c r="O558" s="34">
        <f t="shared" si="187"/>
        <v>0</v>
      </c>
      <c r="Q558" s="14"/>
      <c r="S558" s="34">
        <f t="shared" si="188"/>
        <v>0</v>
      </c>
      <c r="T558" s="14"/>
      <c r="U558" s="14"/>
      <c r="V558" s="14"/>
      <c r="W558" s="14"/>
      <c r="X558" s="14"/>
      <c r="Y558" s="25">
        <f t="shared" si="189"/>
        <v>0</v>
      </c>
      <c r="Z558" s="26"/>
      <c r="AA558" s="26" t="e">
        <f t="shared" si="190"/>
        <v>#DIV/0!</v>
      </c>
      <c r="AB558"/>
    </row>
    <row r="559" spans="1:29">
      <c r="B559" s="11" t="s">
        <v>325</v>
      </c>
      <c r="C559" s="64"/>
      <c r="D559" s="13">
        <v>38.86</v>
      </c>
      <c r="E559" s="14"/>
      <c r="F559" s="14"/>
      <c r="G559" s="14"/>
      <c r="H559" s="14"/>
      <c r="I559" s="14">
        <f t="shared" si="191"/>
        <v>0</v>
      </c>
      <c r="J559" s="14">
        <v>38.857999999999997</v>
      </c>
      <c r="K559" s="25">
        <f t="shared" si="185"/>
        <v>38.857999999999997</v>
      </c>
      <c r="L559" s="14">
        <v>38.857999999999997</v>
      </c>
      <c r="M559" s="34">
        <f t="shared" si="186"/>
        <v>0</v>
      </c>
      <c r="N559" s="14">
        <v>38.857999999999997</v>
      </c>
      <c r="O559" s="34">
        <f t="shared" si="187"/>
        <v>0</v>
      </c>
      <c r="P559" s="14">
        <v>38.857999999999997</v>
      </c>
      <c r="Q559" s="14"/>
      <c r="R559" s="14">
        <v>38.857999999999997</v>
      </c>
      <c r="S559" s="34">
        <f t="shared" si="188"/>
        <v>0</v>
      </c>
      <c r="T559" s="14"/>
      <c r="U559" s="14"/>
      <c r="V559" s="14"/>
      <c r="W559" s="14"/>
      <c r="X559" s="14"/>
      <c r="Y559" s="25">
        <f t="shared" si="189"/>
        <v>38.857999999999997</v>
      </c>
      <c r="Z559" s="26"/>
      <c r="AA559" s="26">
        <f t="shared" si="190"/>
        <v>99.99485331960885</v>
      </c>
      <c r="AB559"/>
    </row>
    <row r="560" spans="1:29">
      <c r="B560" s="11" t="s">
        <v>479</v>
      </c>
      <c r="C560" s="64"/>
      <c r="D560" s="13">
        <v>2.84</v>
      </c>
      <c r="E560" s="14"/>
      <c r="F560" s="14"/>
      <c r="G560" s="14"/>
      <c r="H560" s="14"/>
      <c r="I560" s="14">
        <f t="shared" si="191"/>
        <v>0</v>
      </c>
      <c r="J560" s="14">
        <v>2.8359999999999999</v>
      </c>
      <c r="K560" s="25">
        <f t="shared" si="185"/>
        <v>2.8359999999999999</v>
      </c>
      <c r="L560" s="14">
        <v>2.8359999999999999</v>
      </c>
      <c r="M560" s="34">
        <f t="shared" si="186"/>
        <v>0</v>
      </c>
      <c r="N560" s="14">
        <v>2.8359999999999999</v>
      </c>
      <c r="O560" s="34">
        <f t="shared" si="187"/>
        <v>0</v>
      </c>
      <c r="P560" s="14">
        <v>2.8359999999999999</v>
      </c>
      <c r="Q560" s="14"/>
      <c r="R560" s="14">
        <v>2.8359999999999999</v>
      </c>
      <c r="S560" s="34">
        <f t="shared" si="188"/>
        <v>0</v>
      </c>
      <c r="T560" s="14"/>
      <c r="U560" s="14"/>
      <c r="V560" s="14"/>
      <c r="W560" s="14"/>
      <c r="X560" s="14"/>
      <c r="Y560" s="25">
        <f t="shared" si="189"/>
        <v>2.8359999999999999</v>
      </c>
      <c r="Z560" s="26"/>
      <c r="AA560" s="26">
        <f t="shared" si="190"/>
        <v>99.859154929577471</v>
      </c>
      <c r="AB560"/>
      <c r="AC560"/>
    </row>
    <row r="561" spans="1:31">
      <c r="B561" s="11" t="s">
        <v>327</v>
      </c>
      <c r="C561" s="64"/>
      <c r="D561" s="13">
        <v>1.02</v>
      </c>
      <c r="E561" s="14"/>
      <c r="F561" s="14"/>
      <c r="G561" s="14"/>
      <c r="H561" s="14"/>
      <c r="I561" s="14">
        <f t="shared" si="191"/>
        <v>0</v>
      </c>
      <c r="J561" s="14">
        <v>1.0189999999999999</v>
      </c>
      <c r="K561" s="25">
        <f t="shared" si="185"/>
        <v>1.0189999999999999</v>
      </c>
      <c r="L561" s="14">
        <v>1.0189999999999999</v>
      </c>
      <c r="M561" s="34">
        <f t="shared" si="186"/>
        <v>0</v>
      </c>
      <c r="N561" s="14">
        <v>1.0189999999999999</v>
      </c>
      <c r="O561" s="34">
        <f t="shared" si="187"/>
        <v>0</v>
      </c>
      <c r="P561" s="14">
        <v>1.0189999999999999</v>
      </c>
      <c r="Q561" s="14"/>
      <c r="R561" s="14">
        <v>1.0189999999999999</v>
      </c>
      <c r="S561" s="34">
        <f t="shared" si="188"/>
        <v>0</v>
      </c>
      <c r="T561" s="14"/>
      <c r="U561" s="14"/>
      <c r="V561" s="14"/>
      <c r="W561" s="14"/>
      <c r="X561" s="14"/>
      <c r="Y561" s="25">
        <f t="shared" si="189"/>
        <v>1.0189999999999999</v>
      </c>
      <c r="Z561" s="26"/>
      <c r="AA561" s="26">
        <f t="shared" si="190"/>
        <v>99.901960784313715</v>
      </c>
      <c r="AB561"/>
      <c r="AC561"/>
    </row>
    <row r="562" spans="1:31">
      <c r="B562" s="11" t="s">
        <v>331</v>
      </c>
      <c r="C562" s="64"/>
      <c r="D562" s="13">
        <v>1.76</v>
      </c>
      <c r="E562" s="14"/>
      <c r="F562" s="14"/>
      <c r="G562" s="14"/>
      <c r="H562" s="14">
        <v>1.7230000000000001</v>
      </c>
      <c r="I562" s="14">
        <f t="shared" si="191"/>
        <v>1.7230000000000001</v>
      </c>
      <c r="J562" s="14">
        <v>1.756</v>
      </c>
      <c r="K562" s="25">
        <f t="shared" si="185"/>
        <v>3.2999999999999918E-2</v>
      </c>
      <c r="L562" s="14">
        <v>1.756</v>
      </c>
      <c r="M562" s="34">
        <f t="shared" si="186"/>
        <v>0</v>
      </c>
      <c r="N562" s="14">
        <v>1.756</v>
      </c>
      <c r="O562" s="34">
        <f t="shared" si="187"/>
        <v>0</v>
      </c>
      <c r="P562" s="14">
        <v>1.756</v>
      </c>
      <c r="Q562" s="14"/>
      <c r="R562" s="14">
        <v>1.756</v>
      </c>
      <c r="S562" s="34">
        <f t="shared" si="188"/>
        <v>0</v>
      </c>
      <c r="T562" s="14"/>
      <c r="U562" s="14"/>
      <c r="V562" s="14"/>
      <c r="W562" s="14"/>
      <c r="X562" s="14"/>
      <c r="Y562" s="25">
        <f t="shared" si="189"/>
        <v>1.756</v>
      </c>
      <c r="Z562" s="26"/>
      <c r="AA562" s="26">
        <f t="shared" si="190"/>
        <v>99.772727272727266</v>
      </c>
      <c r="AB562"/>
      <c r="AC562"/>
    </row>
    <row r="563" spans="1:31">
      <c r="B563" s="11" t="s">
        <v>332</v>
      </c>
      <c r="C563" s="64"/>
      <c r="D563" s="13">
        <v>2.72</v>
      </c>
      <c r="E563" s="14"/>
      <c r="F563" s="14"/>
      <c r="G563" s="14"/>
      <c r="H563" s="14"/>
      <c r="I563" s="14">
        <f t="shared" si="191"/>
        <v>0</v>
      </c>
      <c r="J563" s="14">
        <v>2.7166899999999998</v>
      </c>
      <c r="K563" s="25">
        <f t="shared" si="185"/>
        <v>2.7166899999999998</v>
      </c>
      <c r="L563" s="14">
        <v>2.7166899999999998</v>
      </c>
      <c r="M563" s="34">
        <f t="shared" si="186"/>
        <v>0</v>
      </c>
      <c r="N563" s="14">
        <v>2.7166899999999998</v>
      </c>
      <c r="O563" s="34">
        <f t="shared" si="187"/>
        <v>0</v>
      </c>
      <c r="P563" s="14">
        <v>2.7166899999999998</v>
      </c>
      <c r="Q563" s="14"/>
      <c r="R563" s="14">
        <v>2.7166899999999998</v>
      </c>
      <c r="S563" s="34">
        <f t="shared" si="188"/>
        <v>0</v>
      </c>
      <c r="T563" s="14"/>
      <c r="U563" s="14"/>
      <c r="V563" s="14"/>
      <c r="W563" s="14"/>
      <c r="X563" s="14"/>
      <c r="Y563" s="25">
        <f t="shared" si="189"/>
        <v>2.7166899999999998</v>
      </c>
      <c r="Z563" s="26"/>
      <c r="AA563" s="26">
        <f t="shared" si="190"/>
        <v>99.878308823529395</v>
      </c>
      <c r="AB563"/>
      <c r="AC563"/>
    </row>
    <row r="564" spans="1:31">
      <c r="B564" s="11" t="s">
        <v>412</v>
      </c>
      <c r="C564" s="64"/>
      <c r="D564" s="13">
        <v>0.22</v>
      </c>
      <c r="E564" s="14"/>
      <c r="F564" s="14"/>
      <c r="G564" s="14"/>
      <c r="H564" s="14"/>
      <c r="I564" s="14">
        <f t="shared" si="191"/>
        <v>0</v>
      </c>
      <c r="J564" s="14">
        <v>0.22</v>
      </c>
      <c r="K564" s="25">
        <f t="shared" si="185"/>
        <v>0.22</v>
      </c>
      <c r="L564" s="14">
        <v>0.22</v>
      </c>
      <c r="M564" s="34">
        <f t="shared" si="186"/>
        <v>0</v>
      </c>
      <c r="N564" s="14">
        <v>0.22</v>
      </c>
      <c r="O564" s="34">
        <f t="shared" si="187"/>
        <v>0</v>
      </c>
      <c r="P564" s="14">
        <v>0.22</v>
      </c>
      <c r="Q564" s="14"/>
      <c r="R564" s="14">
        <v>0.22</v>
      </c>
      <c r="S564" s="34">
        <f t="shared" si="188"/>
        <v>0</v>
      </c>
      <c r="T564" s="14"/>
      <c r="U564" s="14"/>
      <c r="V564" s="14"/>
      <c r="W564" s="14"/>
      <c r="X564" s="14"/>
      <c r="Y564" s="25">
        <f t="shared" si="189"/>
        <v>0.22</v>
      </c>
      <c r="Z564" s="26"/>
      <c r="AA564" s="26">
        <f t="shared" si="190"/>
        <v>100</v>
      </c>
      <c r="AB564"/>
      <c r="AC564"/>
    </row>
    <row r="565" spans="1:31">
      <c r="B565" s="75" t="s">
        <v>425</v>
      </c>
      <c r="C565" s="64"/>
      <c r="D565" s="13">
        <v>4.84</v>
      </c>
      <c r="E565" s="14"/>
      <c r="F565" s="14"/>
      <c r="G565" s="14"/>
      <c r="H565" s="14"/>
      <c r="I565" s="14">
        <f t="shared" si="191"/>
        <v>0</v>
      </c>
      <c r="J565" s="14">
        <v>4.84</v>
      </c>
      <c r="K565" s="25">
        <f t="shared" si="185"/>
        <v>4.84</v>
      </c>
      <c r="L565" s="14">
        <v>4.84</v>
      </c>
      <c r="M565" s="34">
        <f t="shared" si="186"/>
        <v>0</v>
      </c>
      <c r="N565" s="14">
        <v>4.84</v>
      </c>
      <c r="O565" s="34">
        <f t="shared" si="187"/>
        <v>0</v>
      </c>
      <c r="P565" s="14">
        <v>4.84</v>
      </c>
      <c r="Q565" s="14"/>
      <c r="R565" s="14">
        <v>4.84</v>
      </c>
      <c r="S565" s="34">
        <f t="shared" si="188"/>
        <v>0</v>
      </c>
      <c r="T565" s="14"/>
      <c r="U565" s="14"/>
      <c r="V565" s="14"/>
      <c r="W565" s="14"/>
      <c r="X565" s="14"/>
      <c r="Y565" s="25">
        <f t="shared" si="189"/>
        <v>4.84</v>
      </c>
      <c r="Z565" s="26"/>
      <c r="AA565" s="26">
        <f t="shared" si="190"/>
        <v>100</v>
      </c>
      <c r="AB565"/>
      <c r="AC565"/>
    </row>
    <row r="566" spans="1:31">
      <c r="B566" s="11" t="s">
        <v>426</v>
      </c>
      <c r="C566" s="64"/>
      <c r="D566" s="13">
        <v>2.5499999999999998</v>
      </c>
      <c r="E566" s="14"/>
      <c r="F566" s="14"/>
      <c r="G566" s="14"/>
      <c r="H566" s="14"/>
      <c r="I566" s="14">
        <f t="shared" si="191"/>
        <v>0</v>
      </c>
      <c r="J566" s="14">
        <v>2.5459999999999998</v>
      </c>
      <c r="K566" s="25">
        <f t="shared" si="185"/>
        <v>2.5459999999999998</v>
      </c>
      <c r="L566" s="14">
        <v>2.5459999999999998</v>
      </c>
      <c r="M566" s="34">
        <f t="shared" si="186"/>
        <v>0</v>
      </c>
      <c r="N566" s="14">
        <v>2.5459999999999998</v>
      </c>
      <c r="O566" s="34">
        <f t="shared" si="187"/>
        <v>0</v>
      </c>
      <c r="P566" s="14">
        <v>2.5459999999999998</v>
      </c>
      <c r="Q566" s="14"/>
      <c r="R566" s="14">
        <v>2.5459999999999998</v>
      </c>
      <c r="S566" s="34">
        <f t="shared" si="188"/>
        <v>0</v>
      </c>
      <c r="T566" s="14"/>
      <c r="U566" s="14"/>
      <c r="V566" s="14"/>
      <c r="W566" s="14"/>
      <c r="X566" s="14"/>
      <c r="Y566" s="25">
        <f t="shared" si="189"/>
        <v>2.5459999999999998</v>
      </c>
      <c r="Z566" s="26"/>
      <c r="AA566" s="26">
        <f t="shared" si="190"/>
        <v>99.843137254901961</v>
      </c>
      <c r="AB566"/>
      <c r="AC566"/>
    </row>
    <row r="567" spans="1:31">
      <c r="B567" s="18" t="s">
        <v>10</v>
      </c>
      <c r="C567" s="19">
        <f t="shared" ref="C567:W567" si="192">SUM(C557:C566)</f>
        <v>0</v>
      </c>
      <c r="D567" s="19">
        <f t="shared" si="192"/>
        <v>67</v>
      </c>
      <c r="E567" s="20">
        <f t="shared" si="192"/>
        <v>0</v>
      </c>
      <c r="F567" s="20">
        <f t="shared" si="192"/>
        <v>0</v>
      </c>
      <c r="G567" s="20">
        <f t="shared" si="192"/>
        <v>0</v>
      </c>
      <c r="H567" s="20">
        <f t="shared" si="192"/>
        <v>1.7230000000000001</v>
      </c>
      <c r="I567" s="20">
        <f t="shared" si="192"/>
        <v>1.7230000000000001</v>
      </c>
      <c r="J567" s="20">
        <f t="shared" si="192"/>
        <v>64.893689999999992</v>
      </c>
      <c r="K567" s="20">
        <f t="shared" si="192"/>
        <v>63.170689999999986</v>
      </c>
      <c r="L567" s="20">
        <f t="shared" si="192"/>
        <v>64.893689999999992</v>
      </c>
      <c r="M567" s="20">
        <f t="shared" si="192"/>
        <v>0</v>
      </c>
      <c r="N567" s="20">
        <f t="shared" si="192"/>
        <v>64.893689999999992</v>
      </c>
      <c r="O567" s="20">
        <f t="shared" si="192"/>
        <v>0</v>
      </c>
      <c r="P567" s="20">
        <f t="shared" si="192"/>
        <v>64.893689999999992</v>
      </c>
      <c r="Q567" s="20">
        <f t="shared" si="192"/>
        <v>0</v>
      </c>
      <c r="R567" s="20">
        <f t="shared" si="192"/>
        <v>64.893689999999992</v>
      </c>
      <c r="S567" s="20">
        <f t="shared" si="192"/>
        <v>0</v>
      </c>
      <c r="T567" s="20">
        <f t="shared" si="192"/>
        <v>0</v>
      </c>
      <c r="U567" s="20">
        <f t="shared" si="192"/>
        <v>0</v>
      </c>
      <c r="V567" s="20">
        <f t="shared" si="192"/>
        <v>0</v>
      </c>
      <c r="W567" s="20">
        <f t="shared" si="192"/>
        <v>0</v>
      </c>
      <c r="X567" s="20"/>
      <c r="Y567" s="20">
        <f>SUM(Y557:Y566)</f>
        <v>64.893689999999992</v>
      </c>
      <c r="Z567" s="18"/>
      <c r="AA567" s="18">
        <f>(Y567/D567)*100</f>
        <v>96.856253731343273</v>
      </c>
      <c r="AB567"/>
      <c r="AC567"/>
    </row>
    <row r="568" spans="1:31" ht="17.25" customHeight="1">
      <c r="B568" s="4"/>
      <c r="C568" s="5"/>
      <c r="D568" s="5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395"/>
      <c r="AB568"/>
      <c r="AC568"/>
    </row>
    <row r="569" spans="1:31" ht="17.25" customHeight="1">
      <c r="B569" s="4"/>
      <c r="C569" s="5"/>
      <c r="D569" s="5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395"/>
      <c r="AB569"/>
    </row>
    <row r="570" spans="1:31" ht="39" customHeight="1">
      <c r="A570" s="75" t="s">
        <v>313</v>
      </c>
      <c r="B570" s="8" t="s">
        <v>493</v>
      </c>
      <c r="C570" s="507" t="s">
        <v>524</v>
      </c>
      <c r="D570" s="508" t="s">
        <v>315</v>
      </c>
      <c r="E570" s="393" t="s">
        <v>523</v>
      </c>
      <c r="F570" s="393" t="s">
        <v>525</v>
      </c>
      <c r="G570" s="460" t="s">
        <v>534</v>
      </c>
      <c r="H570" s="393" t="s">
        <v>526</v>
      </c>
      <c r="I570" s="460" t="s">
        <v>535</v>
      </c>
      <c r="J570" s="393" t="s">
        <v>527</v>
      </c>
      <c r="K570" s="460" t="s">
        <v>536</v>
      </c>
      <c r="L570" s="393" t="s">
        <v>528</v>
      </c>
      <c r="M570" s="460" t="s">
        <v>537</v>
      </c>
      <c r="N570" s="393" t="s">
        <v>529</v>
      </c>
      <c r="O570" s="460" t="s">
        <v>538</v>
      </c>
      <c r="P570" s="393" t="s">
        <v>530</v>
      </c>
      <c r="Q570" s="460" t="s">
        <v>539</v>
      </c>
      <c r="R570" s="393" t="s">
        <v>531</v>
      </c>
      <c r="S570" s="460" t="s">
        <v>540</v>
      </c>
      <c r="T570" s="393" t="s">
        <v>532</v>
      </c>
      <c r="U570" s="460" t="s">
        <v>541</v>
      </c>
      <c r="V570" s="393" t="s">
        <v>533</v>
      </c>
      <c r="W570" s="460" t="s">
        <v>542</v>
      </c>
      <c r="X570" s="10"/>
      <c r="Y570" s="393" t="s">
        <v>543</v>
      </c>
      <c r="Z570" s="10" t="s">
        <v>309</v>
      </c>
      <c r="AA570" s="396" t="s">
        <v>7</v>
      </c>
      <c r="AB570"/>
    </row>
    <row r="571" spans="1:31">
      <c r="A571" s="75" t="s">
        <v>494</v>
      </c>
      <c r="B571" s="11" t="s">
        <v>410</v>
      </c>
      <c r="C571" s="31">
        <v>13900</v>
      </c>
      <c r="D571" s="13">
        <v>12683.05</v>
      </c>
      <c r="E571" s="34">
        <v>2472.2910000000002</v>
      </c>
      <c r="F571" s="521">
        <v>3526.6959999999999</v>
      </c>
      <c r="G571" s="522">
        <f>F571-E571</f>
        <v>1054.4049999999997</v>
      </c>
      <c r="H571" s="523">
        <v>4440.1679999999997</v>
      </c>
      <c r="I571" s="14">
        <f>H571-F571</f>
        <v>913.47199999999975</v>
      </c>
      <c r="J571" s="14">
        <v>5276.37</v>
      </c>
      <c r="K571" s="25">
        <f t="shared" ref="K571:K607" si="193">J571-H571</f>
        <v>836.20200000000023</v>
      </c>
      <c r="L571" s="14">
        <v>6339.1369999999997</v>
      </c>
      <c r="M571" s="34">
        <f t="shared" ref="M571:M607" si="194">L571-J571</f>
        <v>1062.7669999999998</v>
      </c>
      <c r="N571" s="14">
        <v>7224.0959999999995</v>
      </c>
      <c r="O571" s="34">
        <f t="shared" ref="O571:O607" si="195">N571-L571</f>
        <v>884.95899999999983</v>
      </c>
      <c r="P571" s="14">
        <v>8206.1299999999992</v>
      </c>
      <c r="Q571" s="25">
        <f t="shared" ref="Q571:Q607" si="196">P571-N571</f>
        <v>982.03399999999965</v>
      </c>
      <c r="R571" s="14">
        <v>9327.3860000000004</v>
      </c>
      <c r="S571" s="34">
        <f t="shared" ref="S571:S607" si="197">R571-P571</f>
        <v>1121.2560000000012</v>
      </c>
      <c r="T571" s="14"/>
      <c r="U571" s="14"/>
      <c r="V571" s="14"/>
      <c r="W571" s="14"/>
      <c r="X571" s="14"/>
      <c r="Y571" s="523">
        <f t="shared" ref="Y571:Y606" si="198">E571+G571+I571+K571+M571+O571+Q571+S571+U571+W571</f>
        <v>9327.3860000000004</v>
      </c>
      <c r="Z571" s="26">
        <f t="shared" ref="Z571:Z608" si="199">(Y571/C571)*100</f>
        <v>67.10349640287771</v>
      </c>
      <c r="AA571" s="26">
        <f t="shared" ref="AA571:AA606" si="200">(Y571/D571)*100</f>
        <v>73.542136946554663</v>
      </c>
      <c r="AB571"/>
      <c r="AE571" s="538"/>
    </row>
    <row r="572" spans="1:31">
      <c r="B572" s="11" t="s">
        <v>492</v>
      </c>
      <c r="C572" s="31">
        <v>2</v>
      </c>
      <c r="D572" s="23">
        <v>2</v>
      </c>
      <c r="E572" s="34"/>
      <c r="F572" s="522"/>
      <c r="G572" s="522">
        <f t="shared" ref="G572:G607" si="201">F572-E572</f>
        <v>0</v>
      </c>
      <c r="H572" s="523"/>
      <c r="I572" s="14">
        <f t="shared" ref="I572:I607" si="202">H572-F572</f>
        <v>0</v>
      </c>
      <c r="J572" s="34"/>
      <c r="K572" s="25">
        <f t="shared" si="193"/>
        <v>0</v>
      </c>
      <c r="L572" s="34"/>
      <c r="M572" s="34">
        <f t="shared" si="194"/>
        <v>0</v>
      </c>
      <c r="N572" s="34"/>
      <c r="O572" s="34">
        <f t="shared" si="195"/>
        <v>0</v>
      </c>
      <c r="P572" s="34"/>
      <c r="Q572" s="25">
        <f t="shared" si="196"/>
        <v>0</v>
      </c>
      <c r="R572" s="34"/>
      <c r="S572" s="34">
        <f t="shared" si="197"/>
        <v>0</v>
      </c>
      <c r="T572" s="34"/>
      <c r="U572" s="34"/>
      <c r="V572" s="34"/>
      <c r="W572" s="34"/>
      <c r="X572" s="34"/>
      <c r="Y572" s="523">
        <f t="shared" si="198"/>
        <v>0</v>
      </c>
      <c r="Z572" s="26">
        <f t="shared" si="199"/>
        <v>0</v>
      </c>
      <c r="AA572" s="26">
        <f t="shared" si="200"/>
        <v>0</v>
      </c>
      <c r="AB572"/>
      <c r="AE572" s="538"/>
    </row>
    <row r="573" spans="1:31">
      <c r="B573" s="11" t="s">
        <v>325</v>
      </c>
      <c r="C573" s="31">
        <v>28</v>
      </c>
      <c r="D573" s="13">
        <v>59</v>
      </c>
      <c r="E573" s="34">
        <v>10</v>
      </c>
      <c r="F573" s="521">
        <v>13</v>
      </c>
      <c r="G573" s="522">
        <f t="shared" si="201"/>
        <v>3</v>
      </c>
      <c r="H573" s="523">
        <v>13</v>
      </c>
      <c r="I573" s="14">
        <f t="shared" si="202"/>
        <v>0</v>
      </c>
      <c r="J573" s="14">
        <v>13</v>
      </c>
      <c r="K573" s="25">
        <f t="shared" si="193"/>
        <v>0</v>
      </c>
      <c r="L573" s="14">
        <v>28.67</v>
      </c>
      <c r="M573" s="34">
        <f t="shared" si="194"/>
        <v>15.670000000000002</v>
      </c>
      <c r="N573" s="14">
        <v>28.67</v>
      </c>
      <c r="O573" s="34">
        <f t="shared" si="195"/>
        <v>0</v>
      </c>
      <c r="P573" s="14">
        <v>28.67</v>
      </c>
      <c r="Q573" s="25">
        <f t="shared" si="196"/>
        <v>0</v>
      </c>
      <c r="R573" s="14">
        <v>49.615000000000002</v>
      </c>
      <c r="S573" s="34">
        <f t="shared" si="197"/>
        <v>20.945</v>
      </c>
      <c r="T573" s="14"/>
      <c r="U573" s="14"/>
      <c r="V573" s="14"/>
      <c r="W573" s="14"/>
      <c r="X573" s="14"/>
      <c r="Y573" s="523">
        <f t="shared" si="198"/>
        <v>49.615000000000002</v>
      </c>
      <c r="Z573" s="26">
        <f t="shared" si="199"/>
        <v>177.19642857142858</v>
      </c>
      <c r="AA573" s="26">
        <f t="shared" si="200"/>
        <v>84.093220338983059</v>
      </c>
      <c r="AB573"/>
      <c r="AE573" s="538"/>
    </row>
    <row r="574" spans="1:31">
      <c r="B574" s="11" t="s">
        <v>479</v>
      </c>
      <c r="C574" s="31">
        <v>4388.3999999999996</v>
      </c>
      <c r="D574" s="24">
        <v>4557.43</v>
      </c>
      <c r="E574" s="34">
        <v>878.99199999999996</v>
      </c>
      <c r="F574" s="523">
        <v>1256.2909999999999</v>
      </c>
      <c r="G574" s="522">
        <f t="shared" si="201"/>
        <v>377.29899999999998</v>
      </c>
      <c r="H574" s="523">
        <v>1583.9369999999999</v>
      </c>
      <c r="I574" s="14">
        <f t="shared" si="202"/>
        <v>327.64599999999996</v>
      </c>
      <c r="J574" s="25">
        <v>1884.3209999999999</v>
      </c>
      <c r="K574" s="25">
        <f t="shared" si="193"/>
        <v>300.38400000000001</v>
      </c>
      <c r="L574" s="25">
        <v>2267.4769999999999</v>
      </c>
      <c r="M574" s="34">
        <f t="shared" si="194"/>
        <v>383.15599999999995</v>
      </c>
      <c r="N574" s="25">
        <v>2585.0880000000002</v>
      </c>
      <c r="O574" s="34">
        <f t="shared" si="195"/>
        <v>317.61100000000033</v>
      </c>
      <c r="P574" s="25">
        <v>2914.51</v>
      </c>
      <c r="Q574" s="25">
        <f t="shared" si="196"/>
        <v>329.42200000000003</v>
      </c>
      <c r="R574" s="25">
        <v>3318.6179999999999</v>
      </c>
      <c r="S574" s="34">
        <f t="shared" si="197"/>
        <v>404.10799999999972</v>
      </c>
      <c r="T574" s="25"/>
      <c r="U574" s="25"/>
      <c r="V574" s="25"/>
      <c r="W574" s="25"/>
      <c r="X574" s="25"/>
      <c r="Y574" s="523">
        <f t="shared" si="198"/>
        <v>3318.6179999999999</v>
      </c>
      <c r="Z574" s="26">
        <f t="shared" si="199"/>
        <v>75.622504785343182</v>
      </c>
      <c r="AA574" s="26">
        <f t="shared" si="200"/>
        <v>72.817750354914935</v>
      </c>
      <c r="AB574"/>
      <c r="AE574" s="538"/>
    </row>
    <row r="575" spans="1:31">
      <c r="B575" s="11" t="s">
        <v>327</v>
      </c>
      <c r="C575" s="31">
        <v>1886</v>
      </c>
      <c r="D575" s="23">
        <v>1958.44</v>
      </c>
      <c r="E575" s="34">
        <v>371.74200000000002</v>
      </c>
      <c r="F575" s="522">
        <v>540.79499999999996</v>
      </c>
      <c r="G575" s="522">
        <f t="shared" si="201"/>
        <v>169.05299999999994</v>
      </c>
      <c r="H575" s="523">
        <v>681.67600000000004</v>
      </c>
      <c r="I575" s="14">
        <f t="shared" si="202"/>
        <v>140.88100000000009</v>
      </c>
      <c r="J575" s="34">
        <v>809.65800000000002</v>
      </c>
      <c r="K575" s="25">
        <f t="shared" si="193"/>
        <v>127.98199999999997</v>
      </c>
      <c r="L575" s="34">
        <v>974.21199999999999</v>
      </c>
      <c r="M575" s="34">
        <f t="shared" si="194"/>
        <v>164.55399999999997</v>
      </c>
      <c r="N575" s="34">
        <v>1110.5920000000001</v>
      </c>
      <c r="O575" s="34">
        <f t="shared" si="195"/>
        <v>136.38000000000011</v>
      </c>
      <c r="P575" s="34">
        <v>1250.6130000000001</v>
      </c>
      <c r="Q575" s="25">
        <f t="shared" si="196"/>
        <v>140.02099999999996</v>
      </c>
      <c r="R575" s="34">
        <v>1424.1669999999999</v>
      </c>
      <c r="S575" s="34">
        <f t="shared" si="197"/>
        <v>173.55399999999986</v>
      </c>
      <c r="T575" s="34"/>
      <c r="U575" s="34"/>
      <c r="V575" s="34"/>
      <c r="W575" s="34"/>
      <c r="X575" s="34"/>
      <c r="Y575" s="523">
        <f t="shared" si="198"/>
        <v>1424.1669999999999</v>
      </c>
      <c r="Z575" s="26">
        <f t="shared" si="199"/>
        <v>75.512566277836697</v>
      </c>
      <c r="AA575" s="26">
        <f t="shared" si="200"/>
        <v>72.719460386838492</v>
      </c>
      <c r="AB575"/>
      <c r="AC575" s="571"/>
      <c r="AE575" s="538"/>
    </row>
    <row r="576" spans="1:31">
      <c r="B576" s="11" t="s">
        <v>328</v>
      </c>
      <c r="C576" s="31">
        <v>70</v>
      </c>
      <c r="D576" s="13">
        <v>70</v>
      </c>
      <c r="E576" s="34">
        <v>14.292</v>
      </c>
      <c r="F576" s="521">
        <v>28.638999999999999</v>
      </c>
      <c r="G576" s="522">
        <f t="shared" si="201"/>
        <v>14.347</v>
      </c>
      <c r="H576" s="523">
        <v>28.638999999999999</v>
      </c>
      <c r="I576" s="14">
        <f t="shared" si="202"/>
        <v>0</v>
      </c>
      <c r="J576" s="14">
        <v>28.638999999999999</v>
      </c>
      <c r="K576" s="25">
        <f t="shared" si="193"/>
        <v>0</v>
      </c>
      <c r="L576" s="14">
        <v>43.813000000000002</v>
      </c>
      <c r="M576" s="34">
        <f t="shared" si="194"/>
        <v>15.174000000000003</v>
      </c>
      <c r="N576" s="14">
        <v>43.813000000000002</v>
      </c>
      <c r="O576" s="34">
        <f t="shared" si="195"/>
        <v>0</v>
      </c>
      <c r="P576" s="14">
        <v>43.813000000000002</v>
      </c>
      <c r="Q576" s="25">
        <f t="shared" si="196"/>
        <v>0</v>
      </c>
      <c r="R576" s="14">
        <v>59.326000000000001</v>
      </c>
      <c r="S576" s="34">
        <f t="shared" si="197"/>
        <v>15.512999999999998</v>
      </c>
      <c r="T576" s="14"/>
      <c r="U576" s="14"/>
      <c r="V576" s="14"/>
      <c r="W576" s="14"/>
      <c r="X576" s="14"/>
      <c r="Y576" s="523">
        <f t="shared" si="198"/>
        <v>59.326000000000001</v>
      </c>
      <c r="Z576" s="26">
        <f t="shared" si="199"/>
        <v>84.751428571428576</v>
      </c>
      <c r="AA576" s="26">
        <f t="shared" si="200"/>
        <v>84.751428571428576</v>
      </c>
      <c r="AB576"/>
      <c r="AC576" s="571"/>
      <c r="AE576" s="538"/>
    </row>
    <row r="577" spans="1:31">
      <c r="B577" s="11" t="s">
        <v>495</v>
      </c>
      <c r="C577" s="31">
        <v>5</v>
      </c>
      <c r="D577" s="13">
        <v>5</v>
      </c>
      <c r="E577" s="34"/>
      <c r="F577" s="521">
        <v>3.20146</v>
      </c>
      <c r="G577" s="522">
        <f t="shared" si="201"/>
        <v>3.20146</v>
      </c>
      <c r="H577" s="523">
        <v>3.3248600000000001</v>
      </c>
      <c r="I577" s="14">
        <f t="shared" si="202"/>
        <v>0.12340000000000018</v>
      </c>
      <c r="J577" s="14">
        <v>3.3248600000000001</v>
      </c>
      <c r="K577" s="25">
        <f t="shared" si="193"/>
        <v>0</v>
      </c>
      <c r="L577" s="14">
        <v>3.3248600000000001</v>
      </c>
      <c r="M577" s="34">
        <f t="shared" si="194"/>
        <v>0</v>
      </c>
      <c r="N577" s="14">
        <v>3.3248600000000001</v>
      </c>
      <c r="O577" s="34">
        <f t="shared" si="195"/>
        <v>0</v>
      </c>
      <c r="P577" s="14">
        <v>3.3248600000000001</v>
      </c>
      <c r="Q577" s="25">
        <f t="shared" si="196"/>
        <v>0</v>
      </c>
      <c r="R577" s="504">
        <v>3.3248600000000001</v>
      </c>
      <c r="S577" s="34">
        <f t="shared" si="197"/>
        <v>0</v>
      </c>
      <c r="T577" s="14"/>
      <c r="U577" s="14"/>
      <c r="V577" s="14"/>
      <c r="W577" s="14"/>
      <c r="X577" s="14"/>
      <c r="Y577" s="523">
        <f t="shared" si="198"/>
        <v>3.3248600000000001</v>
      </c>
      <c r="Z577" s="26">
        <f t="shared" si="199"/>
        <v>66.497200000000007</v>
      </c>
      <c r="AA577" s="26">
        <f t="shared" si="200"/>
        <v>66.497200000000007</v>
      </c>
      <c r="AB577"/>
      <c r="AC577" s="571"/>
      <c r="AE577" s="538"/>
    </row>
    <row r="578" spans="1:31">
      <c r="B578" s="11" t="s">
        <v>411</v>
      </c>
      <c r="C578" s="31">
        <v>40</v>
      </c>
      <c r="D578" s="23">
        <v>40</v>
      </c>
      <c r="E578" s="34">
        <v>5.3319999999999999</v>
      </c>
      <c r="F578" s="522">
        <v>5.8419999999999996</v>
      </c>
      <c r="G578" s="522">
        <f t="shared" si="201"/>
        <v>0.50999999999999979</v>
      </c>
      <c r="H578" s="523">
        <v>5.8419999999999996</v>
      </c>
      <c r="I578" s="14">
        <f t="shared" si="202"/>
        <v>0</v>
      </c>
      <c r="J578" s="34">
        <v>5.8920000000000003</v>
      </c>
      <c r="K578" s="25">
        <f t="shared" si="193"/>
        <v>5.0000000000000711E-2</v>
      </c>
      <c r="L578" s="34">
        <v>5.8920000000000003</v>
      </c>
      <c r="M578" s="34">
        <f t="shared" si="194"/>
        <v>0</v>
      </c>
      <c r="N578" s="34">
        <v>5.8920000000000003</v>
      </c>
      <c r="O578" s="34">
        <f t="shared" si="195"/>
        <v>0</v>
      </c>
      <c r="P578" s="34">
        <v>11.891999999999999</v>
      </c>
      <c r="Q578" s="25">
        <f t="shared" si="196"/>
        <v>5.9999999999999991</v>
      </c>
      <c r="R578" s="34">
        <v>13.205</v>
      </c>
      <c r="S578" s="34">
        <f t="shared" si="197"/>
        <v>1.3130000000000006</v>
      </c>
      <c r="T578" s="34"/>
      <c r="U578" s="34"/>
      <c r="V578" s="34"/>
      <c r="W578" s="34"/>
      <c r="X578" s="34"/>
      <c r="Y578" s="523">
        <f t="shared" si="198"/>
        <v>13.205</v>
      </c>
      <c r="Z578" s="26">
        <f t="shared" si="199"/>
        <v>33.012500000000003</v>
      </c>
      <c r="AA578" s="26">
        <f t="shared" si="200"/>
        <v>33.012500000000003</v>
      </c>
      <c r="AB578"/>
      <c r="AC578" s="571"/>
      <c r="AE578" s="538"/>
    </row>
    <row r="579" spans="1:31">
      <c r="B579" s="11" t="s">
        <v>330</v>
      </c>
      <c r="C579" s="13">
        <v>350</v>
      </c>
      <c r="D579" s="13">
        <v>350</v>
      </c>
      <c r="E579" s="34">
        <v>185.21701999999999</v>
      </c>
      <c r="F579" s="521">
        <v>185.21701999999999</v>
      </c>
      <c r="G579" s="522">
        <f t="shared" si="201"/>
        <v>0</v>
      </c>
      <c r="H579" s="523">
        <v>217.42402000000001</v>
      </c>
      <c r="I579" s="14">
        <f t="shared" si="202"/>
        <v>32.207000000000022</v>
      </c>
      <c r="J579" s="14">
        <v>229.74202</v>
      </c>
      <c r="K579" s="25">
        <f t="shared" si="193"/>
        <v>12.317999999999984</v>
      </c>
      <c r="L579" s="14">
        <v>232.77001999999999</v>
      </c>
      <c r="M579" s="34">
        <f t="shared" si="194"/>
        <v>3.0279999999999916</v>
      </c>
      <c r="N579" s="14">
        <v>233.87002000000001</v>
      </c>
      <c r="O579" s="34">
        <f t="shared" si="195"/>
        <v>1.1000000000000227</v>
      </c>
      <c r="P579" s="14">
        <v>257.31981999999999</v>
      </c>
      <c r="Q579" s="25">
        <f t="shared" si="196"/>
        <v>23.449799999999982</v>
      </c>
      <c r="R579" s="14">
        <v>257.31981999999999</v>
      </c>
      <c r="S579" s="34">
        <f t="shared" si="197"/>
        <v>0</v>
      </c>
      <c r="T579" s="14"/>
      <c r="U579" s="14"/>
      <c r="V579" s="14"/>
      <c r="W579" s="14"/>
      <c r="X579" s="14"/>
      <c r="Y579" s="523">
        <f t="shared" si="198"/>
        <v>257.31981999999999</v>
      </c>
      <c r="Z579" s="26">
        <f t="shared" si="199"/>
        <v>73.519948571428571</v>
      </c>
      <c r="AA579" s="26">
        <f t="shared" si="200"/>
        <v>73.519948571428571</v>
      </c>
      <c r="AB579"/>
      <c r="AC579" s="571"/>
      <c r="AE579" s="538"/>
    </row>
    <row r="580" spans="1:31" ht="25.5" customHeight="1">
      <c r="B580" s="399" t="s">
        <v>496</v>
      </c>
      <c r="C580" s="33">
        <v>400</v>
      </c>
      <c r="D580" s="24">
        <v>385</v>
      </c>
      <c r="E580" s="34">
        <v>76.290000000000006</v>
      </c>
      <c r="F580" s="523">
        <v>114.69061000000001</v>
      </c>
      <c r="G580" s="522">
        <f t="shared" si="201"/>
        <v>38.40061</v>
      </c>
      <c r="H580" s="523">
        <v>148.47861</v>
      </c>
      <c r="I580" s="523">
        <f t="shared" si="202"/>
        <v>33.787999999999997</v>
      </c>
      <c r="J580" s="25">
        <v>169.57361</v>
      </c>
      <c r="K580" s="25">
        <f t="shared" si="193"/>
        <v>21.094999999999999</v>
      </c>
      <c r="L580" s="25">
        <v>203.46035000000001</v>
      </c>
      <c r="M580" s="34">
        <f t="shared" si="194"/>
        <v>33.886740000000003</v>
      </c>
      <c r="N580" s="25">
        <v>232.95835</v>
      </c>
      <c r="O580" s="34">
        <f t="shared" si="195"/>
        <v>29.49799999999999</v>
      </c>
      <c r="P580" s="25">
        <v>262.78534999999999</v>
      </c>
      <c r="Q580" s="25">
        <f t="shared" si="196"/>
        <v>29.826999999999998</v>
      </c>
      <c r="R580" s="25">
        <v>323.69961000000001</v>
      </c>
      <c r="S580" s="34">
        <f t="shared" si="197"/>
        <v>60.914260000000013</v>
      </c>
      <c r="T580" s="25"/>
      <c r="U580" s="25"/>
      <c r="V580" s="25"/>
      <c r="W580" s="25"/>
      <c r="X580" s="25"/>
      <c r="Y580" s="523">
        <f t="shared" si="198"/>
        <v>323.69961000000001</v>
      </c>
      <c r="Z580" s="26">
        <f t="shared" si="199"/>
        <v>80.924902500000002</v>
      </c>
      <c r="AA580" s="26">
        <f t="shared" si="200"/>
        <v>84.077820779220787</v>
      </c>
      <c r="AB580"/>
      <c r="AC580" s="571"/>
      <c r="AE580" s="538"/>
    </row>
    <row r="581" spans="1:31" ht="26.25" customHeight="1">
      <c r="B581" s="11" t="s">
        <v>352</v>
      </c>
      <c r="C581" s="33">
        <v>40</v>
      </c>
      <c r="D581" s="23">
        <v>40</v>
      </c>
      <c r="E581" s="34"/>
      <c r="F581" s="522">
        <v>7.4489999999999998</v>
      </c>
      <c r="G581" s="522">
        <f t="shared" si="201"/>
        <v>7.4489999999999998</v>
      </c>
      <c r="H581" s="523">
        <v>7.4489999999999998</v>
      </c>
      <c r="I581" s="523">
        <f t="shared" si="202"/>
        <v>0</v>
      </c>
      <c r="J581" s="34">
        <v>7.4489999999999998</v>
      </c>
      <c r="K581" s="25">
        <f t="shared" si="193"/>
        <v>0</v>
      </c>
      <c r="L581" s="34">
        <v>26.855</v>
      </c>
      <c r="M581" s="34">
        <f t="shared" si="194"/>
        <v>19.405999999999999</v>
      </c>
      <c r="N581" s="34">
        <v>26.855</v>
      </c>
      <c r="O581" s="34">
        <f t="shared" si="195"/>
        <v>0</v>
      </c>
      <c r="P581" s="34">
        <v>26.855</v>
      </c>
      <c r="Q581" s="25">
        <f t="shared" si="196"/>
        <v>0</v>
      </c>
      <c r="R581" s="34">
        <v>39.158999999999999</v>
      </c>
      <c r="S581" s="34">
        <f t="shared" si="197"/>
        <v>12.303999999999998</v>
      </c>
      <c r="T581" s="34"/>
      <c r="U581" s="34"/>
      <c r="V581" s="34"/>
      <c r="W581" s="34"/>
      <c r="X581" s="34"/>
      <c r="Y581" s="523">
        <f t="shared" si="198"/>
        <v>39.158999999999992</v>
      </c>
      <c r="Z581" s="26">
        <f t="shared" si="199"/>
        <v>97.89749999999998</v>
      </c>
      <c r="AA581" s="26">
        <f t="shared" si="200"/>
        <v>97.89749999999998</v>
      </c>
      <c r="AB581"/>
      <c r="AC581" s="571"/>
      <c r="AE581" s="538"/>
    </row>
    <row r="582" spans="1:31" ht="14.25" customHeight="1">
      <c r="B582" s="11" t="s">
        <v>450</v>
      </c>
      <c r="C582" s="31">
        <v>600</v>
      </c>
      <c r="D582" s="13">
        <v>600</v>
      </c>
      <c r="E582" s="34">
        <v>88.5</v>
      </c>
      <c r="F582" s="521">
        <v>128</v>
      </c>
      <c r="G582" s="522">
        <f t="shared" si="201"/>
        <v>39.5</v>
      </c>
      <c r="H582" s="523">
        <v>167.5</v>
      </c>
      <c r="I582" s="523">
        <f t="shared" si="202"/>
        <v>39.5</v>
      </c>
      <c r="J582" s="14">
        <v>207</v>
      </c>
      <c r="K582" s="25">
        <f t="shared" si="193"/>
        <v>39.5</v>
      </c>
      <c r="L582" s="14">
        <v>246.5</v>
      </c>
      <c r="M582" s="34">
        <f t="shared" si="194"/>
        <v>39.5</v>
      </c>
      <c r="N582" s="14">
        <v>286</v>
      </c>
      <c r="O582" s="34">
        <f t="shared" si="195"/>
        <v>39.5</v>
      </c>
      <c r="P582" s="14">
        <v>325.5</v>
      </c>
      <c r="Q582" s="25">
        <f t="shared" si="196"/>
        <v>39.5</v>
      </c>
      <c r="R582" s="14">
        <v>365</v>
      </c>
      <c r="S582" s="34">
        <f t="shared" si="197"/>
        <v>39.5</v>
      </c>
      <c r="T582" s="14"/>
      <c r="U582" s="14"/>
      <c r="V582" s="14"/>
      <c r="W582" s="14"/>
      <c r="X582" s="14"/>
      <c r="Y582" s="523">
        <f t="shared" si="198"/>
        <v>365</v>
      </c>
      <c r="Z582" s="26">
        <f t="shared" si="199"/>
        <v>60.833333333333329</v>
      </c>
      <c r="AA582" s="26">
        <f t="shared" si="200"/>
        <v>60.833333333333329</v>
      </c>
      <c r="AB582"/>
      <c r="AC582" s="571"/>
      <c r="AE582" s="538"/>
    </row>
    <row r="583" spans="1:31" ht="25.5" customHeight="1">
      <c r="B583" s="11" t="s">
        <v>345</v>
      </c>
      <c r="C583" s="33">
        <v>350</v>
      </c>
      <c r="D583" s="23">
        <v>350</v>
      </c>
      <c r="E583" s="34">
        <v>72.019750000000002</v>
      </c>
      <c r="F583" s="522">
        <v>94.439750000000004</v>
      </c>
      <c r="G583" s="522">
        <f t="shared" si="201"/>
        <v>22.42</v>
      </c>
      <c r="H583" s="523">
        <v>116.85975000000001</v>
      </c>
      <c r="I583" s="523">
        <f t="shared" si="202"/>
        <v>22.42</v>
      </c>
      <c r="J583" s="34">
        <v>139.27975000000001</v>
      </c>
      <c r="K583" s="25">
        <f t="shared" si="193"/>
        <v>22.42</v>
      </c>
      <c r="L583" s="34">
        <v>161.69974999999999</v>
      </c>
      <c r="M583" s="34">
        <f t="shared" si="194"/>
        <v>22.419999999999987</v>
      </c>
      <c r="N583" s="34">
        <v>184.80175</v>
      </c>
      <c r="O583" s="34">
        <f t="shared" si="195"/>
        <v>23.102000000000004</v>
      </c>
      <c r="P583" s="34">
        <v>205.82175000000001</v>
      </c>
      <c r="Q583" s="25">
        <f t="shared" si="196"/>
        <v>21.02000000000001</v>
      </c>
      <c r="R583" s="34">
        <v>228.24175</v>
      </c>
      <c r="S583" s="34">
        <f t="shared" si="197"/>
        <v>22.419999999999987</v>
      </c>
      <c r="T583" s="34"/>
      <c r="U583" s="34"/>
      <c r="V583" s="34"/>
      <c r="W583" s="34"/>
      <c r="X583" s="34"/>
      <c r="Y583" s="523">
        <f t="shared" si="198"/>
        <v>228.24175</v>
      </c>
      <c r="Z583" s="26">
        <f t="shared" si="199"/>
        <v>65.211928571428572</v>
      </c>
      <c r="AA583" s="26">
        <f t="shared" si="200"/>
        <v>65.211928571428572</v>
      </c>
      <c r="AB583"/>
      <c r="AC583" s="571"/>
      <c r="AE583" s="538"/>
    </row>
    <row r="584" spans="1:31" ht="25.5" customHeight="1">
      <c r="B584" s="11" t="s">
        <v>332</v>
      </c>
      <c r="C584" s="33">
        <v>130</v>
      </c>
      <c r="D584" s="23">
        <v>130</v>
      </c>
      <c r="E584" s="34">
        <v>23.977640000000001</v>
      </c>
      <c r="F584" s="522">
        <v>35.307490000000001</v>
      </c>
      <c r="G584" s="522">
        <f t="shared" si="201"/>
        <v>11.32985</v>
      </c>
      <c r="H584" s="523">
        <v>45.67201</v>
      </c>
      <c r="I584" s="523">
        <f t="shared" si="202"/>
        <v>10.364519999999999</v>
      </c>
      <c r="J584" s="34">
        <v>47.006050000000002</v>
      </c>
      <c r="K584" s="25">
        <f t="shared" si="193"/>
        <v>1.3340400000000017</v>
      </c>
      <c r="L584" s="34">
        <v>56.988660000000003</v>
      </c>
      <c r="M584" s="34">
        <f t="shared" si="194"/>
        <v>9.9826100000000011</v>
      </c>
      <c r="N584" s="34">
        <v>62.250219999999999</v>
      </c>
      <c r="O584" s="34">
        <f t="shared" si="195"/>
        <v>5.2615599999999958</v>
      </c>
      <c r="P584" s="34">
        <v>66.474239999999995</v>
      </c>
      <c r="Q584" s="25">
        <f t="shared" si="196"/>
        <v>4.2240199999999959</v>
      </c>
      <c r="R584" s="34">
        <v>75.158199999999994</v>
      </c>
      <c r="S584" s="34">
        <f t="shared" si="197"/>
        <v>8.683959999999999</v>
      </c>
      <c r="T584" s="34"/>
      <c r="U584" s="34"/>
      <c r="V584" s="34"/>
      <c r="W584" s="34"/>
      <c r="X584" s="34"/>
      <c r="Y584" s="523">
        <f t="shared" si="198"/>
        <v>75.158199999999994</v>
      </c>
      <c r="Z584" s="26">
        <f t="shared" si="199"/>
        <v>57.814</v>
      </c>
      <c r="AA584" s="26">
        <f t="shared" si="200"/>
        <v>57.814</v>
      </c>
      <c r="AB584"/>
      <c r="AC584" s="571"/>
      <c r="AE584" s="538"/>
    </row>
    <row r="585" spans="1:31">
      <c r="B585" s="75" t="s">
        <v>412</v>
      </c>
      <c r="C585" s="31">
        <v>250</v>
      </c>
      <c r="D585" s="13">
        <v>300</v>
      </c>
      <c r="E585" s="34">
        <v>63.564</v>
      </c>
      <c r="F585" s="521">
        <v>75.582999999999998</v>
      </c>
      <c r="G585" s="522">
        <f t="shared" si="201"/>
        <v>12.018999999999998</v>
      </c>
      <c r="H585" s="523">
        <v>99.837000000000003</v>
      </c>
      <c r="I585" s="523">
        <f t="shared" si="202"/>
        <v>24.254000000000005</v>
      </c>
      <c r="J585" s="14">
        <v>122.986</v>
      </c>
      <c r="K585" s="25">
        <f t="shared" si="193"/>
        <v>23.149000000000001</v>
      </c>
      <c r="L585" s="14">
        <v>153.29400000000001</v>
      </c>
      <c r="M585" s="34">
        <f t="shared" si="194"/>
        <v>30.308000000000007</v>
      </c>
      <c r="N585" s="14">
        <v>180.88</v>
      </c>
      <c r="O585" s="34">
        <f t="shared" si="195"/>
        <v>27.585999999999984</v>
      </c>
      <c r="P585" s="14">
        <v>213.011</v>
      </c>
      <c r="Q585" s="25">
        <f t="shared" si="196"/>
        <v>32.131</v>
      </c>
      <c r="R585" s="14">
        <v>258.339</v>
      </c>
      <c r="S585" s="34">
        <f t="shared" si="197"/>
        <v>45.328000000000003</v>
      </c>
      <c r="T585" s="14"/>
      <c r="U585" s="14"/>
      <c r="V585" s="14"/>
      <c r="W585" s="14"/>
      <c r="X585" s="14"/>
      <c r="Y585" s="523">
        <f t="shared" si="198"/>
        <v>258.339</v>
      </c>
      <c r="Z585" s="26">
        <f t="shared" si="199"/>
        <v>103.3356</v>
      </c>
      <c r="AA585" s="26">
        <f t="shared" si="200"/>
        <v>86.113</v>
      </c>
      <c r="AB585"/>
      <c r="AC585" s="571"/>
      <c r="AE585" s="538"/>
    </row>
    <row r="586" spans="1:31">
      <c r="B586" s="11" t="s">
        <v>333</v>
      </c>
      <c r="C586" s="31">
        <v>500</v>
      </c>
      <c r="D586" s="24">
        <v>280</v>
      </c>
      <c r="E586" s="34">
        <v>73.130610000000004</v>
      </c>
      <c r="F586" s="523">
        <v>105.6245</v>
      </c>
      <c r="G586" s="522">
        <f t="shared" si="201"/>
        <v>32.493889999999993</v>
      </c>
      <c r="H586" s="523">
        <v>131.04329999999999</v>
      </c>
      <c r="I586" s="523">
        <f t="shared" si="202"/>
        <v>25.41879999999999</v>
      </c>
      <c r="J586" s="25">
        <v>154.09586999999999</v>
      </c>
      <c r="K586" s="25">
        <f t="shared" si="193"/>
        <v>23.052570000000003</v>
      </c>
      <c r="L586" s="25">
        <v>176.87918999999999</v>
      </c>
      <c r="M586" s="34">
        <f t="shared" si="194"/>
        <v>22.783320000000003</v>
      </c>
      <c r="N586" s="25">
        <v>199.3828</v>
      </c>
      <c r="O586" s="34">
        <f t="shared" si="195"/>
        <v>22.503610000000009</v>
      </c>
      <c r="P586" s="25">
        <v>221.56603999999999</v>
      </c>
      <c r="Q586" s="25">
        <f t="shared" si="196"/>
        <v>22.183239999999984</v>
      </c>
      <c r="R586" s="25">
        <v>245.16757000000001</v>
      </c>
      <c r="S586" s="34">
        <f t="shared" si="197"/>
        <v>23.601530000000025</v>
      </c>
      <c r="T586" s="25"/>
      <c r="U586" s="25"/>
      <c r="V586" s="25"/>
      <c r="W586" s="25"/>
      <c r="X586" s="25"/>
      <c r="Y586" s="523">
        <f t="shared" si="198"/>
        <v>245.16757000000001</v>
      </c>
      <c r="Z586" s="26">
        <f t="shared" si="199"/>
        <v>49.033513999999997</v>
      </c>
      <c r="AA586" s="26">
        <f t="shared" si="200"/>
        <v>87.559846428571433</v>
      </c>
      <c r="AB586"/>
      <c r="AC586" s="571"/>
      <c r="AE586" s="538"/>
    </row>
    <row r="587" spans="1:31">
      <c r="B587" s="11" t="s">
        <v>334</v>
      </c>
      <c r="C587" s="31">
        <v>400</v>
      </c>
      <c r="D587" s="13">
        <v>400</v>
      </c>
      <c r="E587" s="34">
        <v>311.12799999999999</v>
      </c>
      <c r="F587" s="521">
        <v>311.12799999999999</v>
      </c>
      <c r="G587" s="522">
        <f t="shared" si="201"/>
        <v>0</v>
      </c>
      <c r="H587" s="523">
        <v>311.12799999999999</v>
      </c>
      <c r="I587" s="523">
        <f t="shared" si="202"/>
        <v>0</v>
      </c>
      <c r="J587" s="14">
        <v>312.12799999999999</v>
      </c>
      <c r="K587" s="25">
        <f t="shared" si="193"/>
        <v>1</v>
      </c>
      <c r="L587" s="14">
        <v>311.20600000000002</v>
      </c>
      <c r="M587" s="34">
        <f t="shared" si="194"/>
        <v>-0.92199999999996862</v>
      </c>
      <c r="N587" s="14">
        <v>311.20600000000002</v>
      </c>
      <c r="O587" s="34">
        <f t="shared" si="195"/>
        <v>0</v>
      </c>
      <c r="P587" s="14">
        <v>311.20600000000002</v>
      </c>
      <c r="Q587" s="25">
        <f t="shared" si="196"/>
        <v>0</v>
      </c>
      <c r="R587" s="14">
        <v>323.53899999999999</v>
      </c>
      <c r="S587" s="34">
        <f t="shared" si="197"/>
        <v>12.33299999999997</v>
      </c>
      <c r="T587" s="14"/>
      <c r="U587" s="14"/>
      <c r="V587" s="14"/>
      <c r="W587" s="14"/>
      <c r="X587" s="14"/>
      <c r="Y587" s="523">
        <f t="shared" si="198"/>
        <v>323.53899999999999</v>
      </c>
      <c r="Z587" s="26">
        <f t="shared" si="199"/>
        <v>80.884749999999997</v>
      </c>
      <c r="AA587" s="26">
        <f t="shared" si="200"/>
        <v>80.884749999999997</v>
      </c>
      <c r="AB587"/>
      <c r="AC587" s="571"/>
      <c r="AE587" s="538"/>
    </row>
    <row r="588" spans="1:31">
      <c r="B588" s="75" t="s">
        <v>497</v>
      </c>
      <c r="C588" s="33">
        <v>50</v>
      </c>
      <c r="D588" s="23">
        <v>50</v>
      </c>
      <c r="E588" s="34">
        <v>12.542999999999999</v>
      </c>
      <c r="F588" s="522">
        <v>15.791</v>
      </c>
      <c r="G588" s="522">
        <f t="shared" si="201"/>
        <v>3.2480000000000011</v>
      </c>
      <c r="H588" s="523">
        <v>15.791</v>
      </c>
      <c r="I588" s="523">
        <f t="shared" si="202"/>
        <v>0</v>
      </c>
      <c r="J588" s="34">
        <v>15.791</v>
      </c>
      <c r="K588" s="25">
        <f t="shared" si="193"/>
        <v>0</v>
      </c>
      <c r="L588" s="34">
        <v>19.039000000000001</v>
      </c>
      <c r="M588" s="34">
        <f t="shared" si="194"/>
        <v>3.2480000000000011</v>
      </c>
      <c r="N588" s="34">
        <v>19.039000000000001</v>
      </c>
      <c r="O588" s="34">
        <f t="shared" si="195"/>
        <v>0</v>
      </c>
      <c r="P588" s="34">
        <v>22.209</v>
      </c>
      <c r="Q588" s="25">
        <f t="shared" si="196"/>
        <v>3.1699999999999982</v>
      </c>
      <c r="R588" s="34">
        <v>25.457000000000001</v>
      </c>
      <c r="S588" s="34">
        <f t="shared" si="197"/>
        <v>3.2480000000000011</v>
      </c>
      <c r="T588" s="34"/>
      <c r="U588" s="34"/>
      <c r="V588" s="34"/>
      <c r="W588" s="34"/>
      <c r="X588" s="34"/>
      <c r="Y588" s="523">
        <f t="shared" si="198"/>
        <v>25.457000000000001</v>
      </c>
      <c r="Z588" s="26">
        <f t="shared" si="199"/>
        <v>50.914000000000001</v>
      </c>
      <c r="AA588" s="26">
        <f t="shared" si="200"/>
        <v>50.914000000000001</v>
      </c>
      <c r="AB588"/>
      <c r="AC588" s="571"/>
      <c r="AE588" s="538"/>
    </row>
    <row r="589" spans="1:31" ht="25.5">
      <c r="B589" s="433" t="s">
        <v>498</v>
      </c>
      <c r="C589" s="33">
        <v>300</v>
      </c>
      <c r="D589" s="23">
        <v>250</v>
      </c>
      <c r="E589" s="34">
        <v>59.207720000000002</v>
      </c>
      <c r="F589" s="522">
        <v>110.52934</v>
      </c>
      <c r="G589" s="522">
        <f t="shared" si="201"/>
        <v>51.321620000000003</v>
      </c>
      <c r="H589" s="523">
        <v>110.52934</v>
      </c>
      <c r="I589" s="523">
        <f t="shared" si="202"/>
        <v>0</v>
      </c>
      <c r="J589" s="34">
        <v>111.80934000000001</v>
      </c>
      <c r="K589" s="25">
        <f t="shared" si="193"/>
        <v>1.2800000000000011</v>
      </c>
      <c r="L589" s="34">
        <v>161.80896000000001</v>
      </c>
      <c r="M589" s="34">
        <f t="shared" si="194"/>
        <v>49.999620000000007</v>
      </c>
      <c r="N589" s="34">
        <v>171.06546</v>
      </c>
      <c r="O589" s="34">
        <f t="shared" si="195"/>
        <v>9.2564999999999884</v>
      </c>
      <c r="P589" s="34">
        <v>171.06546</v>
      </c>
      <c r="Q589" s="25">
        <f t="shared" si="196"/>
        <v>0</v>
      </c>
      <c r="R589" s="34">
        <v>221.62208000000001</v>
      </c>
      <c r="S589" s="34">
        <f t="shared" si="197"/>
        <v>50.556620000000009</v>
      </c>
      <c r="T589" s="34"/>
      <c r="U589" s="34"/>
      <c r="V589" s="34"/>
      <c r="W589" s="34"/>
      <c r="X589" s="34"/>
      <c r="Y589" s="523">
        <f t="shared" si="198"/>
        <v>221.62208000000001</v>
      </c>
      <c r="Z589" s="26">
        <f t="shared" si="199"/>
        <v>73.874026666666666</v>
      </c>
      <c r="AA589" s="26">
        <f t="shared" si="200"/>
        <v>88.648831999999999</v>
      </c>
      <c r="AB589"/>
      <c r="AC589" s="571"/>
      <c r="AE589" s="538"/>
    </row>
    <row r="590" spans="1:31">
      <c r="B590" s="11" t="s">
        <v>319</v>
      </c>
      <c r="C590" s="31">
        <v>150</v>
      </c>
      <c r="D590" s="24">
        <v>150</v>
      </c>
      <c r="E590" s="34">
        <v>31.085000000000001</v>
      </c>
      <c r="F590" s="523">
        <v>31.385000000000002</v>
      </c>
      <c r="G590" s="522">
        <f t="shared" si="201"/>
        <v>0.30000000000000071</v>
      </c>
      <c r="H590" s="523">
        <v>57.094999999999999</v>
      </c>
      <c r="I590" s="523">
        <f t="shared" si="202"/>
        <v>25.709999999999997</v>
      </c>
      <c r="J590" s="25">
        <v>65.680999999999997</v>
      </c>
      <c r="K590" s="25">
        <f t="shared" si="193"/>
        <v>8.5859999999999985</v>
      </c>
      <c r="L590" s="25">
        <v>70.480999999999995</v>
      </c>
      <c r="M590" s="34">
        <f t="shared" si="194"/>
        <v>4.7999999999999972</v>
      </c>
      <c r="N590" s="25">
        <v>73.881</v>
      </c>
      <c r="O590" s="34">
        <f t="shared" si="195"/>
        <v>3.4000000000000057</v>
      </c>
      <c r="P590" s="25">
        <v>115.404</v>
      </c>
      <c r="Q590" s="25">
        <f t="shared" si="196"/>
        <v>41.522999999999996</v>
      </c>
      <c r="R590" s="25">
        <v>134.114</v>
      </c>
      <c r="S590" s="34">
        <f t="shared" si="197"/>
        <v>18.710000000000008</v>
      </c>
      <c r="T590" s="25"/>
      <c r="U590" s="25"/>
      <c r="V590" s="25"/>
      <c r="W590" s="25"/>
      <c r="X590" s="25"/>
      <c r="Y590" s="523">
        <f t="shared" si="198"/>
        <v>134.114</v>
      </c>
      <c r="Z590" s="26">
        <f t="shared" si="199"/>
        <v>89.409333333333336</v>
      </c>
      <c r="AA590" s="26">
        <f t="shared" si="200"/>
        <v>89.409333333333336</v>
      </c>
      <c r="AB590"/>
      <c r="AC590" s="571"/>
      <c r="AE590" s="538"/>
    </row>
    <row r="591" spans="1:31" ht="25.5">
      <c r="B591" s="471" t="s">
        <v>550</v>
      </c>
      <c r="C591" s="33">
        <v>50</v>
      </c>
      <c r="D591" s="33">
        <v>400</v>
      </c>
      <c r="E591" s="34">
        <v>113.63814000000001</v>
      </c>
      <c r="F591" s="520">
        <v>136.69618</v>
      </c>
      <c r="G591" s="522">
        <f t="shared" si="201"/>
        <v>23.058039999999991</v>
      </c>
      <c r="H591" s="523">
        <v>179.99037999999999</v>
      </c>
      <c r="I591" s="523">
        <f t="shared" si="202"/>
        <v>43.294199999999989</v>
      </c>
      <c r="J591" s="33">
        <v>233.41748000000001</v>
      </c>
      <c r="K591" s="25">
        <f t="shared" si="193"/>
        <v>53.427100000000024</v>
      </c>
      <c r="L591" s="33">
        <v>290.70152000000002</v>
      </c>
      <c r="M591" s="34">
        <f t="shared" si="194"/>
        <v>57.284040000000005</v>
      </c>
      <c r="N591" s="33">
        <v>296.97962000000001</v>
      </c>
      <c r="O591" s="34">
        <f t="shared" si="195"/>
        <v>6.2780999999999949</v>
      </c>
      <c r="P591" s="33">
        <v>304.95172000000002</v>
      </c>
      <c r="Q591" s="25">
        <f t="shared" si="196"/>
        <v>7.9721000000000117</v>
      </c>
      <c r="R591" s="33">
        <v>343.84681999999998</v>
      </c>
      <c r="S591" s="34">
        <f t="shared" si="197"/>
        <v>38.895099999999957</v>
      </c>
      <c r="T591" s="33"/>
      <c r="U591" s="33"/>
      <c r="V591" s="33"/>
      <c r="W591" s="33"/>
      <c r="X591" s="33"/>
      <c r="Y591" s="523">
        <f t="shared" si="198"/>
        <v>343.84681999999998</v>
      </c>
      <c r="Z591" s="26">
        <f t="shared" si="199"/>
        <v>687.69363999999996</v>
      </c>
      <c r="AA591" s="26">
        <f t="shared" si="200"/>
        <v>85.961704999999995</v>
      </c>
      <c r="AB591"/>
      <c r="AC591" s="571"/>
      <c r="AE591" s="538"/>
    </row>
    <row r="592" spans="1:31" ht="18" customHeight="1">
      <c r="A592" s="75"/>
      <c r="B592" s="471" t="s">
        <v>320</v>
      </c>
      <c r="C592" s="33">
        <v>1500</v>
      </c>
      <c r="D592" s="23">
        <v>1904</v>
      </c>
      <c r="E592" s="34">
        <v>482.53922</v>
      </c>
      <c r="F592" s="522">
        <v>668.84721999999999</v>
      </c>
      <c r="G592" s="522">
        <f t="shared" si="201"/>
        <v>186.30799999999999</v>
      </c>
      <c r="H592" s="523">
        <v>1258.2269200000001</v>
      </c>
      <c r="I592" s="523">
        <f t="shared" si="202"/>
        <v>589.37970000000007</v>
      </c>
      <c r="J592" s="34">
        <v>951.08573999999999</v>
      </c>
      <c r="K592" s="25">
        <f t="shared" si="193"/>
        <v>-307.14118000000008</v>
      </c>
      <c r="L592" s="34">
        <v>1266.4749300000001</v>
      </c>
      <c r="M592" s="34">
        <f t="shared" si="194"/>
        <v>315.3891900000001</v>
      </c>
      <c r="N592" s="34">
        <v>1337.6452300000001</v>
      </c>
      <c r="O592" s="34">
        <f t="shared" si="195"/>
        <v>71.170299999999997</v>
      </c>
      <c r="P592" s="34">
        <v>1390.57051</v>
      </c>
      <c r="Q592" s="25">
        <f t="shared" si="196"/>
        <v>52.92527999999993</v>
      </c>
      <c r="R592" s="34">
        <v>1695.9703099999999</v>
      </c>
      <c r="S592" s="34">
        <f t="shared" si="197"/>
        <v>305.39979999999991</v>
      </c>
      <c r="T592" s="34"/>
      <c r="U592" s="34"/>
      <c r="V592" s="34"/>
      <c r="W592" s="34"/>
      <c r="X592" s="34"/>
      <c r="Y592" s="523">
        <f t="shared" si="198"/>
        <v>1695.9703099999999</v>
      </c>
      <c r="Z592" s="26">
        <f t="shared" si="199"/>
        <v>113.06468733333332</v>
      </c>
      <c r="AA592" s="26">
        <f t="shared" si="200"/>
        <v>89.074070903361331</v>
      </c>
      <c r="AB592"/>
      <c r="AC592" s="571"/>
      <c r="AE592" s="538"/>
    </row>
    <row r="593" spans="2:31">
      <c r="B593" s="11" t="s">
        <v>335</v>
      </c>
      <c r="C593" s="31">
        <v>160</v>
      </c>
      <c r="D593" s="13">
        <v>160</v>
      </c>
      <c r="E593" s="34">
        <v>36.663580000000003</v>
      </c>
      <c r="F593" s="521">
        <v>64.714579999999998</v>
      </c>
      <c r="G593" s="522">
        <f t="shared" si="201"/>
        <v>28.050999999999995</v>
      </c>
      <c r="H593" s="523">
        <v>70.316580000000002</v>
      </c>
      <c r="I593" s="523">
        <f t="shared" si="202"/>
        <v>5.6020000000000039</v>
      </c>
      <c r="J593" s="14">
        <v>72.850319999999996</v>
      </c>
      <c r="K593" s="25">
        <f t="shared" si="193"/>
        <v>2.5337399999999946</v>
      </c>
      <c r="L593" s="14">
        <v>76.453320000000005</v>
      </c>
      <c r="M593" s="34">
        <f t="shared" si="194"/>
        <v>3.6030000000000086</v>
      </c>
      <c r="N593" s="14">
        <v>79.066320000000005</v>
      </c>
      <c r="O593" s="34">
        <f t="shared" si="195"/>
        <v>2.6129999999999995</v>
      </c>
      <c r="P593" s="14">
        <v>87.988320000000002</v>
      </c>
      <c r="Q593" s="25">
        <f t="shared" si="196"/>
        <v>8.921999999999997</v>
      </c>
      <c r="R593" s="14">
        <v>88.593320000000006</v>
      </c>
      <c r="S593" s="34">
        <f t="shared" si="197"/>
        <v>0.60500000000000398</v>
      </c>
      <c r="T593" s="14"/>
      <c r="U593" s="14"/>
      <c r="V593" s="14"/>
      <c r="W593" s="14"/>
      <c r="X593" s="14"/>
      <c r="Y593" s="523">
        <f t="shared" si="198"/>
        <v>88.593320000000006</v>
      </c>
      <c r="Z593" s="26">
        <f t="shared" si="199"/>
        <v>55.370825000000004</v>
      </c>
      <c r="AA593" s="26">
        <f t="shared" si="200"/>
        <v>55.370825000000004</v>
      </c>
      <c r="AB593"/>
      <c r="AC593" s="571"/>
      <c r="AE593" s="538"/>
    </row>
    <row r="594" spans="2:31">
      <c r="B594" s="17" t="s">
        <v>415</v>
      </c>
      <c r="C594" s="13"/>
      <c r="D594" s="13">
        <v>80</v>
      </c>
      <c r="E594" s="34">
        <v>2.3839999999999999</v>
      </c>
      <c r="F594" s="521">
        <v>49.428800000000003</v>
      </c>
      <c r="G594" s="522">
        <f t="shared" si="201"/>
        <v>47.044800000000002</v>
      </c>
      <c r="H594" s="523">
        <v>49.428800000000003</v>
      </c>
      <c r="I594" s="523">
        <f t="shared" si="202"/>
        <v>0</v>
      </c>
      <c r="J594" s="14">
        <v>72.418800000000005</v>
      </c>
      <c r="K594" s="25">
        <f t="shared" si="193"/>
        <v>22.990000000000002</v>
      </c>
      <c r="L594" s="14">
        <v>72.418800000000005</v>
      </c>
      <c r="M594" s="34">
        <f t="shared" si="194"/>
        <v>0</v>
      </c>
      <c r="N594" s="14">
        <v>72.418800000000005</v>
      </c>
      <c r="O594" s="34">
        <f t="shared" si="195"/>
        <v>0</v>
      </c>
      <c r="P594" s="14">
        <v>72.418800000000005</v>
      </c>
      <c r="Q594" s="25">
        <f t="shared" si="196"/>
        <v>0</v>
      </c>
      <c r="R594" s="14">
        <v>72.418800000000005</v>
      </c>
      <c r="S594" s="34">
        <f t="shared" si="197"/>
        <v>0</v>
      </c>
      <c r="T594" s="14"/>
      <c r="U594" s="14"/>
      <c r="V594" s="14"/>
      <c r="W594" s="14"/>
      <c r="X594" s="14"/>
      <c r="Y594" s="523">
        <f t="shared" si="198"/>
        <v>72.418800000000005</v>
      </c>
      <c r="Z594" s="26"/>
      <c r="AA594" s="26">
        <f t="shared" si="200"/>
        <v>90.523499999999999</v>
      </c>
      <c r="AB594"/>
      <c r="AC594" s="571"/>
      <c r="AE594" s="538"/>
    </row>
    <row r="595" spans="2:31">
      <c r="B595" s="11" t="s">
        <v>499</v>
      </c>
      <c r="C595" s="31">
        <v>60</v>
      </c>
      <c r="D595" s="23">
        <v>60</v>
      </c>
      <c r="E595" s="34">
        <v>9.9659999999999993</v>
      </c>
      <c r="F595" s="522">
        <v>14.978</v>
      </c>
      <c r="G595" s="522">
        <f t="shared" si="201"/>
        <v>5.0120000000000005</v>
      </c>
      <c r="H595" s="523">
        <v>19.422999999999998</v>
      </c>
      <c r="I595" s="523">
        <f t="shared" si="202"/>
        <v>4.4449999999999985</v>
      </c>
      <c r="J595" s="34">
        <v>22.59</v>
      </c>
      <c r="K595" s="25">
        <f t="shared" si="193"/>
        <v>3.1670000000000016</v>
      </c>
      <c r="L595" s="34">
        <v>26.777000000000001</v>
      </c>
      <c r="M595" s="34">
        <f t="shared" si="194"/>
        <v>4.1870000000000012</v>
      </c>
      <c r="N595" s="34">
        <v>27.318000000000001</v>
      </c>
      <c r="O595" s="34">
        <f t="shared" si="195"/>
        <v>0.54100000000000037</v>
      </c>
      <c r="P595" s="34">
        <v>29.309000000000001</v>
      </c>
      <c r="Q595" s="25">
        <f t="shared" si="196"/>
        <v>1.9909999999999997</v>
      </c>
      <c r="R595" s="34">
        <v>37.441000000000003</v>
      </c>
      <c r="S595" s="34">
        <f t="shared" si="197"/>
        <v>8.1320000000000014</v>
      </c>
      <c r="T595" s="34"/>
      <c r="U595" s="34"/>
      <c r="V595" s="34"/>
      <c r="W595" s="34"/>
      <c r="X595" s="34"/>
      <c r="Y595" s="523">
        <f t="shared" si="198"/>
        <v>37.441000000000003</v>
      </c>
      <c r="Z595" s="26">
        <f t="shared" si="199"/>
        <v>62.401666666666664</v>
      </c>
      <c r="AA595" s="26">
        <f t="shared" si="200"/>
        <v>62.401666666666664</v>
      </c>
      <c r="AB595"/>
      <c r="AC595" s="571"/>
      <c r="AE595" s="538"/>
    </row>
    <row r="596" spans="2:31">
      <c r="B596" s="11" t="s">
        <v>426</v>
      </c>
      <c r="C596" s="13">
        <v>20</v>
      </c>
      <c r="D596" s="13">
        <v>50</v>
      </c>
      <c r="E596" s="34">
        <v>34.725000000000001</v>
      </c>
      <c r="F596" s="521">
        <v>37.325000000000003</v>
      </c>
      <c r="G596" s="522">
        <f t="shared" si="201"/>
        <v>2.6000000000000014</v>
      </c>
      <c r="H596" s="523">
        <v>37.325000000000003</v>
      </c>
      <c r="I596" s="523">
        <f t="shared" si="202"/>
        <v>0</v>
      </c>
      <c r="J596" s="14">
        <v>38.85</v>
      </c>
      <c r="K596" s="25">
        <f t="shared" si="193"/>
        <v>1.5249999999999986</v>
      </c>
      <c r="L596" s="14">
        <v>38.85</v>
      </c>
      <c r="M596" s="34">
        <f t="shared" si="194"/>
        <v>0</v>
      </c>
      <c r="N596" s="14">
        <v>38.929000000000002</v>
      </c>
      <c r="O596" s="34">
        <f t="shared" si="195"/>
        <v>7.9000000000000625E-2</v>
      </c>
      <c r="P596" s="14">
        <v>38.929000000000002</v>
      </c>
      <c r="Q596" s="25">
        <f t="shared" si="196"/>
        <v>0</v>
      </c>
      <c r="R596" s="14">
        <v>39.698999999999998</v>
      </c>
      <c r="S596" s="34">
        <f t="shared" si="197"/>
        <v>0.76999999999999602</v>
      </c>
      <c r="T596" s="14"/>
      <c r="U596" s="14"/>
      <c r="V596" s="14"/>
      <c r="W596" s="14"/>
      <c r="X596" s="14"/>
      <c r="Y596" s="523">
        <f t="shared" si="198"/>
        <v>39.698999999999998</v>
      </c>
      <c r="Z596" s="26">
        <f t="shared" si="199"/>
        <v>198.495</v>
      </c>
      <c r="AA596" s="26">
        <f t="shared" si="200"/>
        <v>79.397999999999996</v>
      </c>
      <c r="AB596"/>
      <c r="AC596" s="571"/>
      <c r="AE596" s="538"/>
    </row>
    <row r="597" spans="2:31">
      <c r="B597" s="11" t="s">
        <v>500</v>
      </c>
      <c r="C597" s="13">
        <v>10</v>
      </c>
      <c r="D597" s="24">
        <v>1</v>
      </c>
      <c r="E597" s="34"/>
      <c r="F597" s="523"/>
      <c r="G597" s="522"/>
      <c r="H597" s="523"/>
      <c r="I597" s="523">
        <f t="shared" si="202"/>
        <v>0</v>
      </c>
      <c r="J597" s="25"/>
      <c r="K597" s="25">
        <f t="shared" si="193"/>
        <v>0</v>
      </c>
      <c r="L597" s="25"/>
      <c r="M597" s="34">
        <f t="shared" si="194"/>
        <v>0</v>
      </c>
      <c r="N597" s="25"/>
      <c r="O597" s="34">
        <f t="shared" si="195"/>
        <v>0</v>
      </c>
      <c r="P597" s="25"/>
      <c r="Q597" s="25">
        <f t="shared" si="196"/>
        <v>0</v>
      </c>
      <c r="R597" s="25"/>
      <c r="S597" s="34">
        <f t="shared" si="197"/>
        <v>0</v>
      </c>
      <c r="T597" s="25"/>
      <c r="U597" s="25"/>
      <c r="V597" s="25"/>
      <c r="W597" s="25"/>
      <c r="X597" s="25"/>
      <c r="Y597" s="523">
        <f t="shared" si="198"/>
        <v>0</v>
      </c>
      <c r="Z597" s="26">
        <f t="shared" si="199"/>
        <v>0</v>
      </c>
      <c r="AA597" s="26">
        <f t="shared" si="200"/>
        <v>0</v>
      </c>
      <c r="AB597"/>
      <c r="AC597" s="547"/>
      <c r="AE597" s="538"/>
    </row>
    <row r="598" spans="2:31">
      <c r="B598" s="11" t="s">
        <v>501</v>
      </c>
      <c r="C598" s="13"/>
      <c r="D598" s="23">
        <v>19</v>
      </c>
      <c r="E598" s="34">
        <v>10.003</v>
      </c>
      <c r="F598" s="522">
        <v>10.465999999999999</v>
      </c>
      <c r="G598" s="522">
        <f t="shared" si="201"/>
        <v>0.46299999999999919</v>
      </c>
      <c r="H598" s="523">
        <v>18.436</v>
      </c>
      <c r="I598" s="523">
        <f t="shared" si="202"/>
        <v>7.9700000000000006</v>
      </c>
      <c r="J598" s="34">
        <v>5.2610000000000001</v>
      </c>
      <c r="K598" s="25">
        <f t="shared" si="193"/>
        <v>-13.175000000000001</v>
      </c>
      <c r="L598" s="34">
        <v>5.431</v>
      </c>
      <c r="M598" s="34">
        <f t="shared" si="194"/>
        <v>0.16999999999999993</v>
      </c>
      <c r="N598" s="34">
        <v>15.353</v>
      </c>
      <c r="O598" s="34">
        <f t="shared" si="195"/>
        <v>9.9220000000000006</v>
      </c>
      <c r="P598" s="34">
        <v>4.1779999999999999</v>
      </c>
      <c r="Q598" s="25">
        <f t="shared" si="196"/>
        <v>-11.175000000000001</v>
      </c>
      <c r="R598" s="34">
        <v>7.61</v>
      </c>
      <c r="S598" s="34">
        <f t="shared" si="197"/>
        <v>3.4320000000000004</v>
      </c>
      <c r="T598" s="34"/>
      <c r="U598" s="34"/>
      <c r="V598" s="34"/>
      <c r="W598" s="34"/>
      <c r="X598" s="34"/>
      <c r="Y598" s="523">
        <f t="shared" si="198"/>
        <v>7.6099999999999994</v>
      </c>
      <c r="Z598" s="26"/>
      <c r="AA598" s="26">
        <f t="shared" si="200"/>
        <v>40.05263157894737</v>
      </c>
      <c r="AB598"/>
      <c r="AC598" s="571"/>
      <c r="AE598" s="538"/>
    </row>
    <row r="599" spans="2:31" ht="14.25" customHeight="1">
      <c r="B599" s="11" t="s">
        <v>429</v>
      </c>
      <c r="C599" s="13">
        <v>40</v>
      </c>
      <c r="D599" s="13">
        <v>40</v>
      </c>
      <c r="E599" s="34">
        <v>11.321999999999999</v>
      </c>
      <c r="F599" s="521">
        <v>19.582999999999998</v>
      </c>
      <c r="G599" s="522">
        <f t="shared" si="201"/>
        <v>8.2609999999999992</v>
      </c>
      <c r="H599" s="523">
        <v>20.038</v>
      </c>
      <c r="I599" s="523">
        <f t="shared" si="202"/>
        <v>0.45500000000000185</v>
      </c>
      <c r="J599" s="14">
        <v>21.102</v>
      </c>
      <c r="K599" s="25">
        <f t="shared" si="193"/>
        <v>1.0640000000000001</v>
      </c>
      <c r="L599" s="14">
        <v>22.603000000000002</v>
      </c>
      <c r="M599" s="34">
        <f t="shared" si="194"/>
        <v>1.5010000000000012</v>
      </c>
      <c r="N599" s="14">
        <v>22.603000000000002</v>
      </c>
      <c r="O599" s="34">
        <f t="shared" si="195"/>
        <v>0</v>
      </c>
      <c r="P599" s="14">
        <v>22.817</v>
      </c>
      <c r="Q599" s="25">
        <f t="shared" si="196"/>
        <v>0.21399999999999864</v>
      </c>
      <c r="R599" s="14">
        <v>30.193000000000001</v>
      </c>
      <c r="S599" s="34">
        <f t="shared" si="197"/>
        <v>7.3760000000000012</v>
      </c>
      <c r="T599" s="14"/>
      <c r="U599" s="14"/>
      <c r="V599" s="14"/>
      <c r="W599" s="14"/>
      <c r="X599" s="14"/>
      <c r="Y599" s="523">
        <f t="shared" si="198"/>
        <v>30.193000000000001</v>
      </c>
      <c r="Z599" s="26">
        <f t="shared" si="199"/>
        <v>75.482500000000002</v>
      </c>
      <c r="AA599" s="26">
        <f t="shared" si="200"/>
        <v>75.482500000000002</v>
      </c>
      <c r="AB599"/>
      <c r="AC599" s="571"/>
      <c r="AE599" s="538"/>
    </row>
    <row r="600" spans="2:31" ht="28.5" customHeight="1">
      <c r="B600" s="485" t="s">
        <v>559</v>
      </c>
      <c r="C600" s="486">
        <v>30</v>
      </c>
      <c r="D600" s="486">
        <v>30</v>
      </c>
      <c r="E600" s="34">
        <v>11.847200000000001</v>
      </c>
      <c r="F600" s="523">
        <v>11.847200000000001</v>
      </c>
      <c r="G600" s="522"/>
      <c r="H600" s="523">
        <v>21.847200000000001</v>
      </c>
      <c r="I600" s="523">
        <f t="shared" si="202"/>
        <v>10</v>
      </c>
      <c r="J600" s="24">
        <v>25.665199999999999</v>
      </c>
      <c r="K600" s="25">
        <f t="shared" si="193"/>
        <v>3.8179999999999978</v>
      </c>
      <c r="L600" s="24">
        <v>25.665199999999999</v>
      </c>
      <c r="M600" s="34">
        <f t="shared" si="194"/>
        <v>0</v>
      </c>
      <c r="N600" s="24">
        <v>25.665199999999999</v>
      </c>
      <c r="O600" s="34">
        <f t="shared" si="195"/>
        <v>0</v>
      </c>
      <c r="P600" s="24">
        <v>25.665199999999999</v>
      </c>
      <c r="Q600" s="25">
        <f t="shared" si="196"/>
        <v>0</v>
      </c>
      <c r="R600" s="24">
        <v>28.665199999999999</v>
      </c>
      <c r="S600" s="34">
        <f t="shared" si="197"/>
        <v>3</v>
      </c>
      <c r="T600" s="24"/>
      <c r="U600" s="24"/>
      <c r="V600" s="24"/>
      <c r="W600" s="24"/>
      <c r="X600" s="24"/>
      <c r="Y600" s="523">
        <f t="shared" si="198"/>
        <v>28.665199999999999</v>
      </c>
      <c r="Z600" s="26">
        <f t="shared" si="199"/>
        <v>95.550666666666658</v>
      </c>
      <c r="AA600" s="26">
        <f t="shared" si="200"/>
        <v>95.550666666666658</v>
      </c>
      <c r="AB600"/>
      <c r="AC600" s="571"/>
      <c r="AE600" s="538"/>
    </row>
    <row r="601" spans="2:31" ht="28.5" customHeight="1">
      <c r="B601" s="485" t="s">
        <v>560</v>
      </c>
      <c r="C601" s="486">
        <v>57</v>
      </c>
      <c r="D601" s="486">
        <v>56.85</v>
      </c>
      <c r="E601" s="34"/>
      <c r="F601" s="523"/>
      <c r="G601" s="522"/>
      <c r="H601" s="523"/>
      <c r="I601" s="523">
        <f t="shared" si="202"/>
        <v>0</v>
      </c>
      <c r="J601" s="24"/>
      <c r="K601" s="25">
        <f t="shared" si="193"/>
        <v>0</v>
      </c>
      <c r="L601" s="24"/>
      <c r="M601" s="34">
        <f t="shared" si="194"/>
        <v>0</v>
      </c>
      <c r="N601" s="24"/>
      <c r="O601" s="34">
        <f t="shared" si="195"/>
        <v>0</v>
      </c>
      <c r="P601" s="24"/>
      <c r="Q601" s="25">
        <f t="shared" si="196"/>
        <v>0</v>
      </c>
      <c r="R601" s="24"/>
      <c r="S601" s="34">
        <f t="shared" si="197"/>
        <v>0</v>
      </c>
      <c r="T601" s="24"/>
      <c r="U601" s="24"/>
      <c r="V601" s="24"/>
      <c r="W601" s="24"/>
      <c r="X601" s="24"/>
      <c r="Y601" s="523">
        <f t="shared" si="198"/>
        <v>0</v>
      </c>
      <c r="Z601" s="26">
        <f t="shared" si="199"/>
        <v>0</v>
      </c>
      <c r="AA601" s="26">
        <f t="shared" si="200"/>
        <v>0</v>
      </c>
      <c r="AB601"/>
      <c r="AE601" s="538"/>
    </row>
    <row r="602" spans="2:31" ht="28.5" customHeight="1">
      <c r="B602" s="17" t="s">
        <v>619</v>
      </c>
      <c r="C602" s="486"/>
      <c r="D602" s="486">
        <v>0.15</v>
      </c>
      <c r="E602" s="34"/>
      <c r="F602" s="523"/>
      <c r="G602" s="522"/>
      <c r="H602" s="523">
        <v>0.15</v>
      </c>
      <c r="I602" s="523">
        <f t="shared" si="202"/>
        <v>0.15</v>
      </c>
      <c r="J602" s="24">
        <v>0.15</v>
      </c>
      <c r="K602" s="25">
        <f t="shared" si="193"/>
        <v>0</v>
      </c>
      <c r="L602" s="24">
        <v>0.15</v>
      </c>
      <c r="M602" s="34">
        <f t="shared" si="194"/>
        <v>0</v>
      </c>
      <c r="N602" s="24">
        <v>0.15</v>
      </c>
      <c r="O602" s="34">
        <f t="shared" si="195"/>
        <v>0</v>
      </c>
      <c r="P602" s="24">
        <v>0.15</v>
      </c>
      <c r="Q602" s="25">
        <f t="shared" si="196"/>
        <v>0</v>
      </c>
      <c r="R602" s="24">
        <v>0.15</v>
      </c>
      <c r="S602" s="34">
        <f t="shared" si="197"/>
        <v>0</v>
      </c>
      <c r="T602" s="24"/>
      <c r="U602" s="24"/>
      <c r="V602" s="24"/>
      <c r="W602" s="24"/>
      <c r="X602" s="24"/>
      <c r="Y602" s="523">
        <f>E602+G602+I602+K602+M602+O602+Q602+S602+U602+W602</f>
        <v>0.15</v>
      </c>
      <c r="Z602" s="26"/>
      <c r="AA602" s="26">
        <f>(Y602/D602)*100</f>
        <v>100</v>
      </c>
      <c r="AB602"/>
      <c r="AC602" s="571"/>
      <c r="AE602" s="538"/>
    </row>
    <row r="603" spans="2:31" ht="14.25" customHeight="1">
      <c r="B603" s="11" t="s">
        <v>336</v>
      </c>
      <c r="C603" s="13">
        <v>450</v>
      </c>
      <c r="D603" s="23">
        <v>150</v>
      </c>
      <c r="E603" s="34">
        <v>27.872</v>
      </c>
      <c r="F603" s="522">
        <v>28.667999999999999</v>
      </c>
      <c r="G603" s="522">
        <f t="shared" si="201"/>
        <v>0.79599999999999937</v>
      </c>
      <c r="H603" s="523">
        <v>81.95</v>
      </c>
      <c r="I603" s="523">
        <f t="shared" si="202"/>
        <v>53.282000000000004</v>
      </c>
      <c r="J603" s="34">
        <v>85.897999999999996</v>
      </c>
      <c r="K603" s="25">
        <f t="shared" si="193"/>
        <v>3.9479999999999933</v>
      </c>
      <c r="L603" s="34">
        <v>89.897999999999996</v>
      </c>
      <c r="M603" s="34">
        <f t="shared" si="194"/>
        <v>4</v>
      </c>
      <c r="N603" s="34">
        <v>88.897999999999996</v>
      </c>
      <c r="O603" s="34">
        <f t="shared" si="195"/>
        <v>-1</v>
      </c>
      <c r="P603" s="34">
        <v>116.482</v>
      </c>
      <c r="Q603" s="25">
        <f t="shared" si="196"/>
        <v>27.584000000000003</v>
      </c>
      <c r="R603" s="34">
        <v>116.482</v>
      </c>
      <c r="S603" s="34">
        <f t="shared" si="197"/>
        <v>0</v>
      </c>
      <c r="T603" s="34"/>
      <c r="U603" s="34"/>
      <c r="V603" s="34"/>
      <c r="W603" s="34"/>
      <c r="X603" s="34"/>
      <c r="Y603" s="523">
        <f t="shared" si="198"/>
        <v>116.482</v>
      </c>
      <c r="Z603" s="26">
        <f t="shared" si="199"/>
        <v>25.884888888888892</v>
      </c>
      <c r="AA603" s="26">
        <f t="shared" si="200"/>
        <v>77.654666666666657</v>
      </c>
      <c r="AB603"/>
      <c r="AC603" s="571"/>
      <c r="AE603" s="538"/>
    </row>
    <row r="604" spans="2:31" ht="14.25" customHeight="1">
      <c r="B604" s="11" t="s">
        <v>502</v>
      </c>
      <c r="C604" s="13">
        <v>40</v>
      </c>
      <c r="D604" s="13">
        <v>130</v>
      </c>
      <c r="E604" s="34">
        <v>76</v>
      </c>
      <c r="F604" s="521">
        <v>76</v>
      </c>
      <c r="G604" s="522"/>
      <c r="H604" s="523">
        <v>76</v>
      </c>
      <c r="I604" s="523">
        <f t="shared" si="202"/>
        <v>0</v>
      </c>
      <c r="J604" s="14">
        <v>112</v>
      </c>
      <c r="K604" s="25">
        <f t="shared" si="193"/>
        <v>36</v>
      </c>
      <c r="L604" s="14">
        <v>112</v>
      </c>
      <c r="M604" s="34">
        <f t="shared" si="194"/>
        <v>0</v>
      </c>
      <c r="N604" s="14">
        <v>112</v>
      </c>
      <c r="O604" s="34">
        <f t="shared" si="195"/>
        <v>0</v>
      </c>
      <c r="P604" s="14">
        <v>112</v>
      </c>
      <c r="Q604" s="25">
        <f t="shared" si="196"/>
        <v>0</v>
      </c>
      <c r="R604" s="14">
        <v>112</v>
      </c>
      <c r="S604" s="34">
        <f t="shared" si="197"/>
        <v>0</v>
      </c>
      <c r="T604" s="14"/>
      <c r="U604" s="14"/>
      <c r="V604" s="14"/>
      <c r="W604" s="14"/>
      <c r="X604" s="14"/>
      <c r="Y604" s="523">
        <f t="shared" si="198"/>
        <v>112</v>
      </c>
      <c r="Z604" s="26">
        <f t="shared" si="199"/>
        <v>280</v>
      </c>
      <c r="AA604" s="26">
        <f t="shared" si="200"/>
        <v>86.15384615384616</v>
      </c>
      <c r="AB604"/>
      <c r="AC604" s="571"/>
      <c r="AE604" s="538"/>
    </row>
    <row r="605" spans="2:31" ht="14.25" customHeight="1">
      <c r="B605" s="11" t="s">
        <v>418</v>
      </c>
      <c r="C605" s="31">
        <v>50</v>
      </c>
      <c r="D605" s="24">
        <v>50</v>
      </c>
      <c r="E605" s="34">
        <v>3.0920000000000001</v>
      </c>
      <c r="F605" s="523">
        <v>6.13</v>
      </c>
      <c r="G605" s="522">
        <f t="shared" si="201"/>
        <v>3.0379999999999998</v>
      </c>
      <c r="H605" s="523">
        <v>8.7780000000000005</v>
      </c>
      <c r="I605" s="14">
        <f t="shared" si="202"/>
        <v>2.6480000000000006</v>
      </c>
      <c r="J605" s="25">
        <v>15.759</v>
      </c>
      <c r="K605" s="25">
        <f t="shared" si="193"/>
        <v>6.9809999999999999</v>
      </c>
      <c r="L605" s="25">
        <v>20.105</v>
      </c>
      <c r="M605" s="34">
        <f t="shared" si="194"/>
        <v>4.3460000000000001</v>
      </c>
      <c r="N605" s="25">
        <v>20.849</v>
      </c>
      <c r="O605" s="34">
        <f t="shared" si="195"/>
        <v>0.74399999999999977</v>
      </c>
      <c r="P605" s="25">
        <v>28.244</v>
      </c>
      <c r="Q605" s="25">
        <f t="shared" si="196"/>
        <v>7.3949999999999996</v>
      </c>
      <c r="R605" s="25">
        <v>30.48</v>
      </c>
      <c r="S605" s="34">
        <f t="shared" si="197"/>
        <v>2.2360000000000007</v>
      </c>
      <c r="T605" s="25"/>
      <c r="U605" s="25"/>
      <c r="V605" s="25"/>
      <c r="W605" s="25"/>
      <c r="X605" s="25"/>
      <c r="Y605" s="523">
        <f t="shared" si="198"/>
        <v>30.48</v>
      </c>
      <c r="Z605" s="26">
        <f t="shared" si="199"/>
        <v>60.96</v>
      </c>
      <c r="AA605" s="26">
        <f t="shared" si="200"/>
        <v>60.96</v>
      </c>
      <c r="AB605"/>
      <c r="AC605" s="571"/>
      <c r="AE605" s="538"/>
    </row>
    <row r="606" spans="2:31">
      <c r="B606" s="11" t="s">
        <v>338</v>
      </c>
      <c r="C606" s="31">
        <v>800</v>
      </c>
      <c r="D606" s="23">
        <v>750</v>
      </c>
      <c r="E606" s="34">
        <v>228.66818000000001</v>
      </c>
      <c r="F606" s="522">
        <v>209.69318000000001</v>
      </c>
      <c r="G606" s="522">
        <f t="shared" si="201"/>
        <v>-18.974999999999994</v>
      </c>
      <c r="H606" s="523">
        <v>280.04048</v>
      </c>
      <c r="I606" s="14">
        <f t="shared" si="202"/>
        <v>70.34729999999999</v>
      </c>
      <c r="J606" s="34">
        <v>262.13547999999997</v>
      </c>
      <c r="K606" s="25">
        <f t="shared" si="193"/>
        <v>-17.90500000000003</v>
      </c>
      <c r="L606" s="34">
        <v>351.12047999999999</v>
      </c>
      <c r="M606" s="34">
        <f t="shared" si="194"/>
        <v>88.985000000000014</v>
      </c>
      <c r="N606" s="34">
        <v>404.16048000000001</v>
      </c>
      <c r="O606" s="34">
        <f t="shared" si="195"/>
        <v>53.04000000000002</v>
      </c>
      <c r="P606" s="34">
        <v>476.53847999999999</v>
      </c>
      <c r="Q606" s="25">
        <f t="shared" si="196"/>
        <v>72.377999999999986</v>
      </c>
      <c r="R606" s="34">
        <v>633.51347999999996</v>
      </c>
      <c r="S606" s="34">
        <f t="shared" si="197"/>
        <v>156.97499999999997</v>
      </c>
      <c r="T606" s="34"/>
      <c r="U606" s="34"/>
      <c r="V606" s="34"/>
      <c r="W606" s="34"/>
      <c r="X606" s="34"/>
      <c r="Y606" s="523">
        <f t="shared" si="198"/>
        <v>633.51347999999996</v>
      </c>
      <c r="Z606" s="26">
        <f t="shared" si="199"/>
        <v>79.189184999999995</v>
      </c>
      <c r="AA606" s="26">
        <f t="shared" si="200"/>
        <v>84.468463999999997</v>
      </c>
      <c r="AB606"/>
      <c r="AC606" s="524"/>
      <c r="AE606" s="538"/>
    </row>
    <row r="607" spans="2:31">
      <c r="B607" s="11" t="s">
        <v>503</v>
      </c>
      <c r="C607" s="13">
        <v>1000</v>
      </c>
      <c r="D607" s="13">
        <v>600</v>
      </c>
      <c r="E607" s="34">
        <v>186.76</v>
      </c>
      <c r="F607" s="521">
        <v>186.76</v>
      </c>
      <c r="G607" s="522">
        <f t="shared" si="201"/>
        <v>0</v>
      </c>
      <c r="H607" s="523">
        <v>250.45359999999999</v>
      </c>
      <c r="I607" s="14">
        <f t="shared" si="202"/>
        <v>63.693600000000004</v>
      </c>
      <c r="J607" s="14">
        <v>250.45359999999999</v>
      </c>
      <c r="K607" s="25">
        <f t="shared" si="193"/>
        <v>0</v>
      </c>
      <c r="L607" s="14">
        <v>250.45359999999999</v>
      </c>
      <c r="M607" s="34">
        <f t="shared" si="194"/>
        <v>0</v>
      </c>
      <c r="N607" s="14">
        <v>250.45359999999999</v>
      </c>
      <c r="O607" s="34">
        <f t="shared" si="195"/>
        <v>0</v>
      </c>
      <c r="P607" s="14">
        <v>250.45359999999999</v>
      </c>
      <c r="Q607" s="25">
        <f t="shared" si="196"/>
        <v>0</v>
      </c>
      <c r="R607" s="14">
        <v>250.45359999999999</v>
      </c>
      <c r="S607" s="34">
        <f t="shared" si="197"/>
        <v>0</v>
      </c>
      <c r="T607" s="14"/>
      <c r="U607" s="14"/>
      <c r="V607" s="14"/>
      <c r="W607" s="14"/>
      <c r="X607" s="14"/>
      <c r="Y607" s="523">
        <f>E607+G607+I607+K607+M607+O607+Q607+S607+U607+W607</f>
        <v>250.45359999999999</v>
      </c>
      <c r="Z607" s="26">
        <f t="shared" si="199"/>
        <v>25.045359999999999</v>
      </c>
      <c r="AA607" s="26">
        <f>(Y607/D607)*100</f>
        <v>41.742266666666666</v>
      </c>
      <c r="AB607"/>
      <c r="AC607" s="571"/>
      <c r="AE607" s="538"/>
    </row>
    <row r="608" spans="2:31">
      <c r="B608" s="401" t="s">
        <v>10</v>
      </c>
      <c r="C608" s="39">
        <f t="shared" ref="C608:W608" si="203">SUM(C571:C607)</f>
        <v>28106.400000000001</v>
      </c>
      <c r="D608" s="39">
        <f>SUM(D571:D607)</f>
        <v>27140.92</v>
      </c>
      <c r="E608" s="434">
        <f t="shared" si="203"/>
        <v>5984.7920600000016</v>
      </c>
      <c r="F608" s="434">
        <f t="shared" si="203"/>
        <v>8110.7463299999981</v>
      </c>
      <c r="G608" s="434">
        <f t="shared" si="203"/>
        <v>2125.9542699999997</v>
      </c>
      <c r="H608" s="537">
        <f>SUM(H571:H607)</f>
        <v>10557.797850000003</v>
      </c>
      <c r="I608" s="434">
        <f t="shared" si="203"/>
        <v>2447.05152</v>
      </c>
      <c r="J608" s="537">
        <f t="shared" si="203"/>
        <v>11773.38312</v>
      </c>
      <c r="K608" s="434">
        <f t="shared" si="203"/>
        <v>1215.5852700000005</v>
      </c>
      <c r="L608" s="537">
        <f t="shared" si="203"/>
        <v>14132.609639999999</v>
      </c>
      <c r="M608" s="434">
        <f t="shared" si="203"/>
        <v>2359.2265200000002</v>
      </c>
      <c r="N608" s="537">
        <f t="shared" si="203"/>
        <v>15776.154709999997</v>
      </c>
      <c r="O608" s="434">
        <f t="shared" si="203"/>
        <v>1643.5450700000001</v>
      </c>
      <c r="P608" s="537">
        <f t="shared" si="203"/>
        <v>17618.866149999998</v>
      </c>
      <c r="Q608" s="434">
        <f t="shared" si="203"/>
        <v>1842.7114399999996</v>
      </c>
      <c r="R608" s="434">
        <f t="shared" si="203"/>
        <v>20179.975420000002</v>
      </c>
      <c r="S608" s="434">
        <f t="shared" si="203"/>
        <v>2561.1092700000008</v>
      </c>
      <c r="T608" s="434">
        <f t="shared" si="203"/>
        <v>0</v>
      </c>
      <c r="U608" s="434">
        <f t="shared" si="203"/>
        <v>0</v>
      </c>
      <c r="V608" s="434">
        <f t="shared" si="203"/>
        <v>0</v>
      </c>
      <c r="W608" s="434">
        <f t="shared" si="203"/>
        <v>0</v>
      </c>
      <c r="X608" s="434"/>
      <c r="Y608" s="434">
        <f>SUM(Y571:Y607)</f>
        <v>20179.975420000002</v>
      </c>
      <c r="Z608" s="401">
        <f t="shared" si="199"/>
        <v>71.798506461161864</v>
      </c>
      <c r="AA608" s="401">
        <f>(Y608/D608)*100</f>
        <v>74.352584289699848</v>
      </c>
      <c r="AB608"/>
      <c r="AE608" s="538"/>
    </row>
    <row r="609" spans="1:31">
      <c r="B609" s="435"/>
      <c r="C609" s="410"/>
      <c r="D609" s="410"/>
      <c r="E609" s="418"/>
      <c r="F609" s="418"/>
      <c r="G609" s="418"/>
      <c r="H609" s="418"/>
      <c r="I609" s="418"/>
      <c r="J609" s="418"/>
      <c r="K609" s="418"/>
      <c r="L609" s="418"/>
      <c r="M609" s="418"/>
      <c r="N609" s="418"/>
      <c r="O609" s="418"/>
      <c r="P609" s="418"/>
      <c r="Q609" s="418"/>
      <c r="R609" s="418"/>
      <c r="S609" s="418"/>
      <c r="T609" s="418"/>
      <c r="U609" s="418"/>
      <c r="V609" s="418"/>
      <c r="W609" s="418"/>
      <c r="X609" s="418"/>
      <c r="Y609" s="418"/>
      <c r="Z609" s="464"/>
      <c r="AA609" s="464"/>
      <c r="AB609"/>
      <c r="AE609" s="538"/>
    </row>
    <row r="610" spans="1:31">
      <c r="A610" s="75"/>
      <c r="B610" s="435"/>
      <c r="C610" s="410"/>
      <c r="D610" s="410"/>
      <c r="E610" s="418"/>
      <c r="F610" s="418"/>
      <c r="G610" s="418"/>
      <c r="H610" s="418"/>
      <c r="I610" s="418"/>
      <c r="J610" s="418"/>
      <c r="K610" s="418"/>
      <c r="L610" s="418"/>
      <c r="M610" s="418"/>
      <c r="N610" s="418"/>
      <c r="O610" s="418"/>
      <c r="P610" s="418"/>
      <c r="Q610" s="418"/>
      <c r="R610" s="418"/>
      <c r="S610" s="418"/>
      <c r="T610" s="418"/>
      <c r="U610" s="418"/>
      <c r="V610" s="418"/>
      <c r="W610" s="418"/>
      <c r="X610" s="418"/>
      <c r="Y610" s="418"/>
      <c r="Z610" s="464"/>
      <c r="AA610" s="464"/>
      <c r="AB610"/>
      <c r="AE610" s="538"/>
    </row>
    <row r="611" spans="1:31" ht="43.5" customHeight="1">
      <c r="A611" s="75" t="s">
        <v>313</v>
      </c>
      <c r="B611" s="490" t="s">
        <v>591</v>
      </c>
      <c r="C611" s="507" t="s">
        <v>524</v>
      </c>
      <c r="D611" s="508" t="s">
        <v>315</v>
      </c>
      <c r="E611" s="393" t="s">
        <v>523</v>
      </c>
      <c r="F611" s="393" t="s">
        <v>525</v>
      </c>
      <c r="G611" s="460" t="s">
        <v>534</v>
      </c>
      <c r="H611" s="393" t="s">
        <v>526</v>
      </c>
      <c r="I611" s="460" t="s">
        <v>535</v>
      </c>
      <c r="J611" s="393" t="s">
        <v>527</v>
      </c>
      <c r="K611" s="460" t="s">
        <v>536</v>
      </c>
      <c r="L611" s="393" t="s">
        <v>528</v>
      </c>
      <c r="M611" s="460" t="s">
        <v>537</v>
      </c>
      <c r="N611" s="393" t="s">
        <v>529</v>
      </c>
      <c r="O611" s="460" t="s">
        <v>538</v>
      </c>
      <c r="P611" s="393" t="s">
        <v>530</v>
      </c>
      <c r="Q611" s="460" t="s">
        <v>539</v>
      </c>
      <c r="R611" s="393" t="s">
        <v>531</v>
      </c>
      <c r="S611" s="460" t="s">
        <v>540</v>
      </c>
      <c r="T611" s="393" t="s">
        <v>532</v>
      </c>
      <c r="U611" s="460" t="s">
        <v>541</v>
      </c>
      <c r="V611" s="393" t="s">
        <v>533</v>
      </c>
      <c r="W611" s="460" t="s">
        <v>542</v>
      </c>
      <c r="X611" s="10"/>
      <c r="Y611" s="393" t="s">
        <v>543</v>
      </c>
      <c r="Z611" s="492"/>
      <c r="AA611" s="493"/>
      <c r="AB611"/>
      <c r="AC611" s="540"/>
      <c r="AE611" s="538"/>
    </row>
    <row r="612" spans="1:31" ht="49.5" customHeight="1">
      <c r="A612" s="2" t="s">
        <v>590</v>
      </c>
      <c r="B612" s="491" t="s">
        <v>657</v>
      </c>
      <c r="C612" s="23">
        <v>0</v>
      </c>
      <c r="D612" s="23">
        <v>1659.54</v>
      </c>
      <c r="E612" s="34"/>
      <c r="F612" s="34"/>
      <c r="G612" s="34"/>
      <c r="H612" s="34"/>
      <c r="I612" s="34">
        <f>H612-F612</f>
        <v>0</v>
      </c>
      <c r="J612" s="34">
        <v>0</v>
      </c>
      <c r="K612" s="25">
        <f>J612-H612</f>
        <v>0</v>
      </c>
      <c r="L612" s="24">
        <v>0</v>
      </c>
      <c r="M612" s="34">
        <f>L612-J612</f>
        <v>0</v>
      </c>
      <c r="N612" s="34">
        <v>0</v>
      </c>
      <c r="O612" s="34">
        <f>N612-L612</f>
        <v>0</v>
      </c>
      <c r="P612" s="34"/>
      <c r="Q612" s="25">
        <f>P612-N612</f>
        <v>0</v>
      </c>
      <c r="R612" s="34">
        <v>425.21336000000002</v>
      </c>
      <c r="S612" s="34">
        <f>R612-P612</f>
        <v>425.21336000000002</v>
      </c>
      <c r="T612" s="34"/>
      <c r="U612" s="34"/>
      <c r="V612" s="34"/>
      <c r="W612" s="34"/>
      <c r="X612" s="34"/>
      <c r="Y612" s="25">
        <f>E612+G612+I612+K612+M612+O612+Q612+S612+U612+W612</f>
        <v>425.21336000000002</v>
      </c>
      <c r="Z612" s="494"/>
      <c r="AA612" s="494"/>
      <c r="AB612"/>
      <c r="AC612" s="540"/>
      <c r="AE612" s="538"/>
    </row>
    <row r="613" spans="1:31" s="72" customFormat="1" ht="14.25" customHeight="1">
      <c r="A613" s="81"/>
      <c r="B613" s="41" t="s">
        <v>10</v>
      </c>
      <c r="C613" s="42">
        <f>C612</f>
        <v>0</v>
      </c>
      <c r="D613" s="42">
        <f>D612</f>
        <v>1659.54</v>
      </c>
      <c r="E613" s="417">
        <f>SUM(E612)</f>
        <v>0</v>
      </c>
      <c r="F613" s="417">
        <f t="shared" ref="F613:W613" si="204">SUM(F612)</f>
        <v>0</v>
      </c>
      <c r="G613" s="417">
        <f t="shared" si="204"/>
        <v>0</v>
      </c>
      <c r="H613" s="417">
        <f t="shared" si="204"/>
        <v>0</v>
      </c>
      <c r="I613" s="417">
        <f t="shared" si="204"/>
        <v>0</v>
      </c>
      <c r="J613" s="417">
        <f t="shared" si="204"/>
        <v>0</v>
      </c>
      <c r="K613" s="417">
        <f t="shared" si="204"/>
        <v>0</v>
      </c>
      <c r="L613" s="417">
        <f t="shared" si="204"/>
        <v>0</v>
      </c>
      <c r="M613" s="417">
        <f t="shared" si="204"/>
        <v>0</v>
      </c>
      <c r="N613" s="417">
        <f t="shared" si="204"/>
        <v>0</v>
      </c>
      <c r="O613" s="417">
        <f t="shared" si="204"/>
        <v>0</v>
      </c>
      <c r="P613" s="417">
        <f t="shared" si="204"/>
        <v>0</v>
      </c>
      <c r="Q613" s="417">
        <f t="shared" si="204"/>
        <v>0</v>
      </c>
      <c r="R613" s="417">
        <f t="shared" si="204"/>
        <v>425.21336000000002</v>
      </c>
      <c r="S613" s="417">
        <f t="shared" si="204"/>
        <v>425.21336000000002</v>
      </c>
      <c r="T613" s="417">
        <f t="shared" si="204"/>
        <v>0</v>
      </c>
      <c r="U613" s="417">
        <f t="shared" si="204"/>
        <v>0</v>
      </c>
      <c r="V613" s="417">
        <f t="shared" si="204"/>
        <v>0</v>
      </c>
      <c r="W613" s="417">
        <f t="shared" si="204"/>
        <v>0</v>
      </c>
      <c r="X613" s="417"/>
      <c r="Y613" s="417">
        <f>SUM(Y612)</f>
        <v>425.21336000000002</v>
      </c>
      <c r="Z613" s="41"/>
      <c r="AA613" s="41"/>
      <c r="AC613" s="500"/>
      <c r="AE613" s="538"/>
    </row>
    <row r="614" spans="1:31">
      <c r="A614" s="75"/>
      <c r="B614" s="435"/>
      <c r="C614" s="410"/>
      <c r="D614" s="410"/>
      <c r="E614" s="418"/>
      <c r="F614" s="418"/>
      <c r="G614" s="418"/>
      <c r="H614" s="418"/>
      <c r="I614" s="418"/>
      <c r="J614" s="418"/>
      <c r="K614" s="418"/>
      <c r="L614" s="418"/>
      <c r="M614" s="418"/>
      <c r="N614" s="418"/>
      <c r="O614" s="418"/>
      <c r="P614" s="418"/>
      <c r="Q614" s="418"/>
      <c r="R614" s="418"/>
      <c r="S614" s="418"/>
      <c r="T614" s="418"/>
      <c r="U614" s="418"/>
      <c r="V614" s="418"/>
      <c r="W614" s="418"/>
      <c r="X614" s="418"/>
      <c r="Y614" s="418"/>
      <c r="Z614" s="464"/>
      <c r="AA614" s="464"/>
      <c r="AB614"/>
      <c r="AC614" s="540"/>
      <c r="AE614" s="538"/>
    </row>
    <row r="615" spans="1:31">
      <c r="A615" s="75"/>
      <c r="B615" s="435"/>
      <c r="C615" s="410"/>
      <c r="D615" s="410"/>
      <c r="E615" s="418"/>
      <c r="F615" s="418"/>
      <c r="G615" s="418"/>
      <c r="H615" s="418"/>
      <c r="I615" s="418"/>
      <c r="J615" s="418"/>
      <c r="K615" s="418"/>
      <c r="L615" s="418"/>
      <c r="M615" s="418"/>
      <c r="N615" s="418"/>
      <c r="O615" s="418"/>
      <c r="P615" s="418"/>
      <c r="Q615" s="418"/>
      <c r="R615" s="418"/>
      <c r="S615" s="418"/>
      <c r="T615" s="418"/>
      <c r="U615" s="418"/>
      <c r="V615" s="418"/>
      <c r="W615" s="418"/>
      <c r="X615" s="418"/>
      <c r="Y615" s="418"/>
      <c r="Z615" s="464"/>
      <c r="AA615" s="464"/>
      <c r="AB615"/>
      <c r="AC615" s="540"/>
      <c r="AE615" s="538"/>
    </row>
    <row r="616" spans="1:31" ht="43.5" customHeight="1">
      <c r="A616" s="75" t="s">
        <v>313</v>
      </c>
      <c r="B616" s="490" t="s">
        <v>591</v>
      </c>
      <c r="C616" s="507" t="s">
        <v>524</v>
      </c>
      <c r="D616" s="508" t="s">
        <v>315</v>
      </c>
      <c r="E616" s="393" t="s">
        <v>523</v>
      </c>
      <c r="F616" s="393" t="s">
        <v>525</v>
      </c>
      <c r="G616" s="460" t="s">
        <v>534</v>
      </c>
      <c r="H616" s="393" t="s">
        <v>526</v>
      </c>
      <c r="I616" s="460" t="s">
        <v>535</v>
      </c>
      <c r="J616" s="393" t="s">
        <v>527</v>
      </c>
      <c r="K616" s="460" t="s">
        <v>536</v>
      </c>
      <c r="L616" s="393" t="s">
        <v>528</v>
      </c>
      <c r="M616" s="460" t="s">
        <v>537</v>
      </c>
      <c r="N616" s="393" t="s">
        <v>529</v>
      </c>
      <c r="O616" s="460" t="s">
        <v>538</v>
      </c>
      <c r="P616" s="393" t="s">
        <v>530</v>
      </c>
      <c r="Q616" s="460" t="s">
        <v>539</v>
      </c>
      <c r="R616" s="393" t="s">
        <v>531</v>
      </c>
      <c r="S616" s="460" t="s">
        <v>540</v>
      </c>
      <c r="T616" s="393" t="s">
        <v>532</v>
      </c>
      <c r="U616" s="460" t="s">
        <v>541</v>
      </c>
      <c r="V616" s="393" t="s">
        <v>533</v>
      </c>
      <c r="W616" s="460" t="s">
        <v>542</v>
      </c>
      <c r="X616" s="10"/>
      <c r="Y616" s="393" t="s">
        <v>543</v>
      </c>
      <c r="Z616" s="492"/>
      <c r="AA616" s="493"/>
      <c r="AB616"/>
      <c r="AE616" s="538"/>
    </row>
    <row r="617" spans="1:31" ht="49.5" customHeight="1">
      <c r="A617" s="2" t="s">
        <v>590</v>
      </c>
      <c r="B617" s="491" t="s">
        <v>592</v>
      </c>
      <c r="C617" s="23">
        <v>540</v>
      </c>
      <c r="D617" s="23">
        <v>540</v>
      </c>
      <c r="E617" s="34">
        <v>373.93400000000003</v>
      </c>
      <c r="F617" s="34">
        <v>373.93400000000003</v>
      </c>
      <c r="G617" s="34"/>
      <c r="H617" s="34">
        <v>373.93400000000003</v>
      </c>
      <c r="I617" s="34">
        <f>H617-F617</f>
        <v>0</v>
      </c>
      <c r="J617" s="34">
        <v>373.93400000000003</v>
      </c>
      <c r="K617" s="25">
        <f>J617-H617</f>
        <v>0</v>
      </c>
      <c r="L617" s="24">
        <v>373.93400000000003</v>
      </c>
      <c r="M617" s="34">
        <f>L617-J617</f>
        <v>0</v>
      </c>
      <c r="N617" s="34">
        <v>373.93400000000003</v>
      </c>
      <c r="O617" s="34">
        <f>N617-L617</f>
        <v>0</v>
      </c>
      <c r="P617" s="34">
        <v>373.93400000000003</v>
      </c>
      <c r="Q617" s="25">
        <f>P617-N617</f>
        <v>0</v>
      </c>
      <c r="R617" s="34">
        <v>373.93400000000003</v>
      </c>
      <c r="S617" s="34">
        <f>R617-P617</f>
        <v>0</v>
      </c>
      <c r="T617" s="34"/>
      <c r="U617" s="34"/>
      <c r="V617" s="34"/>
      <c r="W617" s="34"/>
      <c r="X617" s="34"/>
      <c r="Y617" s="25">
        <f>E617+G617+I617+K617+M617+O617+Q617+S617+U617+W617</f>
        <v>373.93400000000003</v>
      </c>
      <c r="Z617" s="494"/>
      <c r="AA617" s="494"/>
      <c r="AB617"/>
      <c r="AC617" s="524"/>
      <c r="AE617" s="538"/>
    </row>
    <row r="618" spans="1:31" ht="14.25" customHeight="1">
      <c r="B618" s="41" t="s">
        <v>10</v>
      </c>
      <c r="C618" s="42">
        <f>C617</f>
        <v>540</v>
      </c>
      <c r="D618" s="42">
        <f>D617</f>
        <v>540</v>
      </c>
      <c r="E618" s="417">
        <f>SUM(E617)</f>
        <v>373.93400000000003</v>
      </c>
      <c r="F618" s="417">
        <f t="shared" ref="F618:W618" si="205">SUM(F617)</f>
        <v>373.93400000000003</v>
      </c>
      <c r="G618" s="417">
        <f t="shared" si="205"/>
        <v>0</v>
      </c>
      <c r="H618" s="417">
        <f t="shared" si="205"/>
        <v>373.93400000000003</v>
      </c>
      <c r="I618" s="417">
        <f t="shared" si="205"/>
        <v>0</v>
      </c>
      <c r="J618" s="417">
        <f t="shared" si="205"/>
        <v>373.93400000000003</v>
      </c>
      <c r="K618" s="417">
        <f t="shared" si="205"/>
        <v>0</v>
      </c>
      <c r="L618" s="417">
        <f t="shared" si="205"/>
        <v>373.93400000000003</v>
      </c>
      <c r="M618" s="417">
        <f t="shared" si="205"/>
        <v>0</v>
      </c>
      <c r="N618" s="417">
        <f t="shared" si="205"/>
        <v>373.93400000000003</v>
      </c>
      <c r="O618" s="417">
        <f t="shared" si="205"/>
        <v>0</v>
      </c>
      <c r="P618" s="417">
        <f t="shared" si="205"/>
        <v>373.93400000000003</v>
      </c>
      <c r="Q618" s="417">
        <f t="shared" si="205"/>
        <v>0</v>
      </c>
      <c r="R618" s="417">
        <f t="shared" si="205"/>
        <v>373.93400000000003</v>
      </c>
      <c r="S618" s="417">
        <f t="shared" si="205"/>
        <v>0</v>
      </c>
      <c r="T618" s="417">
        <f t="shared" si="205"/>
        <v>0</v>
      </c>
      <c r="U618" s="417">
        <f t="shared" si="205"/>
        <v>0</v>
      </c>
      <c r="V618" s="417">
        <f t="shared" si="205"/>
        <v>0</v>
      </c>
      <c r="W618" s="417">
        <f t="shared" si="205"/>
        <v>0</v>
      </c>
      <c r="X618" s="417"/>
      <c r="Y618" s="417">
        <f>SUM(Y617)</f>
        <v>373.93400000000003</v>
      </c>
      <c r="Z618" s="41"/>
      <c r="AA618" s="41"/>
      <c r="AB618"/>
      <c r="AC618" s="524"/>
      <c r="AE618" s="538"/>
    </row>
    <row r="619" spans="1:31">
      <c r="A619" s="75"/>
      <c r="B619" s="435"/>
      <c r="C619" s="410"/>
      <c r="D619" s="410"/>
      <c r="E619" s="418"/>
      <c r="F619" s="418"/>
      <c r="G619" s="418"/>
      <c r="H619" s="418"/>
      <c r="I619" s="418"/>
      <c r="J619" s="418"/>
      <c r="K619" s="418"/>
      <c r="L619" s="418"/>
      <c r="M619" s="418"/>
      <c r="N619" s="418"/>
      <c r="O619" s="418"/>
      <c r="P619" s="418"/>
      <c r="Q619" s="418"/>
      <c r="R619" s="418"/>
      <c r="S619" s="418"/>
      <c r="T619" s="418"/>
      <c r="U619" s="418"/>
      <c r="V619" s="418"/>
      <c r="W619" s="418"/>
      <c r="X619" s="418"/>
      <c r="Y619" s="418"/>
      <c r="Z619" s="464"/>
      <c r="AA619" s="464"/>
      <c r="AB619"/>
      <c r="AE619" s="538"/>
    </row>
    <row r="620" spans="1:31">
      <c r="A620" s="75"/>
      <c r="B620" s="435"/>
      <c r="C620" s="410"/>
      <c r="D620" s="410"/>
      <c r="E620" s="418"/>
      <c r="F620" s="418"/>
      <c r="G620" s="418"/>
      <c r="H620" s="418"/>
      <c r="I620" s="418"/>
      <c r="J620" s="418"/>
      <c r="K620" s="418"/>
      <c r="L620" s="418"/>
      <c r="M620" s="418"/>
      <c r="N620" s="418"/>
      <c r="O620" s="418"/>
      <c r="P620" s="418"/>
      <c r="Q620" s="418"/>
      <c r="R620" s="418"/>
      <c r="S620" s="418"/>
      <c r="T620" s="418"/>
      <c r="U620" s="418"/>
      <c r="V620" s="418"/>
      <c r="W620" s="418"/>
      <c r="X620" s="418"/>
      <c r="Y620" s="418"/>
      <c r="Z620" s="464"/>
      <c r="AA620" s="464"/>
      <c r="AB620"/>
      <c r="AC620" s="529"/>
      <c r="AE620" s="538"/>
    </row>
    <row r="621" spans="1:31" ht="43.5" customHeight="1">
      <c r="A621" s="75" t="s">
        <v>313</v>
      </c>
      <c r="B621" s="490" t="s">
        <v>591</v>
      </c>
      <c r="C621" s="507" t="s">
        <v>524</v>
      </c>
      <c r="D621" s="508" t="s">
        <v>315</v>
      </c>
      <c r="E621" s="393" t="s">
        <v>523</v>
      </c>
      <c r="F621" s="393" t="s">
        <v>525</v>
      </c>
      <c r="G621" s="460" t="s">
        <v>534</v>
      </c>
      <c r="H621" s="393" t="s">
        <v>526</v>
      </c>
      <c r="I621" s="460" t="s">
        <v>535</v>
      </c>
      <c r="J621" s="393" t="s">
        <v>527</v>
      </c>
      <c r="K621" s="460" t="s">
        <v>536</v>
      </c>
      <c r="L621" s="393" t="s">
        <v>528</v>
      </c>
      <c r="M621" s="460" t="s">
        <v>537</v>
      </c>
      <c r="N621" s="393" t="s">
        <v>529</v>
      </c>
      <c r="O621" s="460" t="s">
        <v>538</v>
      </c>
      <c r="P621" s="393" t="s">
        <v>530</v>
      </c>
      <c r="Q621" s="460" t="s">
        <v>539</v>
      </c>
      <c r="R621" s="393" t="s">
        <v>531</v>
      </c>
      <c r="S621" s="460" t="s">
        <v>540</v>
      </c>
      <c r="T621" s="393" t="s">
        <v>532</v>
      </c>
      <c r="U621" s="460" t="s">
        <v>541</v>
      </c>
      <c r="V621" s="393" t="s">
        <v>533</v>
      </c>
      <c r="W621" s="460" t="s">
        <v>542</v>
      </c>
      <c r="X621" s="10"/>
      <c r="Y621" s="393" t="s">
        <v>543</v>
      </c>
      <c r="Z621" s="492"/>
      <c r="AA621" s="493"/>
      <c r="AB621"/>
      <c r="AC621" s="524"/>
      <c r="AE621" s="538"/>
    </row>
    <row r="622" spans="1:31" ht="49.5" customHeight="1">
      <c r="A622" s="2" t="s">
        <v>590</v>
      </c>
      <c r="B622" s="491" t="s">
        <v>658</v>
      </c>
      <c r="C622" s="23">
        <v>0</v>
      </c>
      <c r="D622" s="23">
        <v>530</v>
      </c>
      <c r="E622" s="34"/>
      <c r="F622" s="34"/>
      <c r="G622" s="34"/>
      <c r="H622" s="34"/>
      <c r="I622" s="34">
        <f>H622-F622</f>
        <v>0</v>
      </c>
      <c r="J622" s="34">
        <v>0</v>
      </c>
      <c r="K622" s="25">
        <f>J622-H622</f>
        <v>0</v>
      </c>
      <c r="L622" s="34">
        <v>0</v>
      </c>
      <c r="M622" s="34">
        <f>L622-J622</f>
        <v>0</v>
      </c>
      <c r="N622" s="34"/>
      <c r="O622" s="34">
        <f>N622-L622</f>
        <v>0</v>
      </c>
      <c r="P622" s="34">
        <v>221.9</v>
      </c>
      <c r="Q622" s="25">
        <f>P622-N622</f>
        <v>221.9</v>
      </c>
      <c r="R622" s="34">
        <v>221.9</v>
      </c>
      <c r="S622" s="34">
        <f>R622-P622</f>
        <v>0</v>
      </c>
      <c r="T622" s="34"/>
      <c r="U622" s="34"/>
      <c r="V622" s="34"/>
      <c r="W622" s="34"/>
      <c r="X622" s="34"/>
      <c r="Y622" s="25">
        <f>E622+G622+I622+K622+M622+O622+Q622+S622+U622+W622</f>
        <v>221.9</v>
      </c>
      <c r="Z622" s="494"/>
      <c r="AA622" s="494"/>
      <c r="AB622"/>
      <c r="AC622" s="524"/>
      <c r="AE622" s="538"/>
    </row>
    <row r="623" spans="1:31" s="72" customFormat="1" ht="14.25" customHeight="1">
      <c r="A623" s="81"/>
      <c r="B623" s="41" t="s">
        <v>10</v>
      </c>
      <c r="C623" s="42">
        <f>C622</f>
        <v>0</v>
      </c>
      <c r="D623" s="42">
        <f>D622</f>
        <v>530</v>
      </c>
      <c r="E623" s="417">
        <f>SUM(E622)</f>
        <v>0</v>
      </c>
      <c r="F623" s="417">
        <f t="shared" ref="F623:W623" si="206">SUM(F622)</f>
        <v>0</v>
      </c>
      <c r="G623" s="417">
        <f t="shared" si="206"/>
        <v>0</v>
      </c>
      <c r="H623" s="417">
        <f t="shared" si="206"/>
        <v>0</v>
      </c>
      <c r="I623" s="417">
        <f t="shared" si="206"/>
        <v>0</v>
      </c>
      <c r="J623" s="417">
        <f t="shared" si="206"/>
        <v>0</v>
      </c>
      <c r="K623" s="417">
        <f t="shared" si="206"/>
        <v>0</v>
      </c>
      <c r="L623" s="417">
        <f t="shared" si="206"/>
        <v>0</v>
      </c>
      <c r="M623" s="417">
        <f t="shared" si="206"/>
        <v>0</v>
      </c>
      <c r="N623" s="417">
        <f t="shared" si="206"/>
        <v>0</v>
      </c>
      <c r="O623" s="417">
        <f t="shared" si="206"/>
        <v>0</v>
      </c>
      <c r="P623" s="417">
        <f t="shared" si="206"/>
        <v>221.9</v>
      </c>
      <c r="Q623" s="417">
        <f t="shared" si="206"/>
        <v>221.9</v>
      </c>
      <c r="R623" s="417">
        <f t="shared" si="206"/>
        <v>221.9</v>
      </c>
      <c r="S623" s="417">
        <f t="shared" si="206"/>
        <v>0</v>
      </c>
      <c r="T623" s="417">
        <f t="shared" si="206"/>
        <v>0</v>
      </c>
      <c r="U623" s="417">
        <f t="shared" si="206"/>
        <v>0</v>
      </c>
      <c r="V623" s="417">
        <f t="shared" si="206"/>
        <v>0</v>
      </c>
      <c r="W623" s="417">
        <f t="shared" si="206"/>
        <v>0</v>
      </c>
      <c r="X623" s="417"/>
      <c r="Y623" s="417">
        <f>SUM(Y622)</f>
        <v>221.9</v>
      </c>
      <c r="Z623" s="41"/>
      <c r="AA623" s="41"/>
      <c r="AC623" s="500"/>
      <c r="AE623" s="538"/>
    </row>
    <row r="624" spans="1:31">
      <c r="A624" s="75"/>
      <c r="B624" s="435"/>
      <c r="C624" s="410"/>
      <c r="D624" s="410"/>
      <c r="E624" s="418"/>
      <c r="F624" s="418"/>
      <c r="G624" s="418"/>
      <c r="H624" s="418"/>
      <c r="I624" s="418"/>
      <c r="J624" s="418"/>
      <c r="K624" s="418"/>
      <c r="L624" s="418"/>
      <c r="M624" s="418"/>
      <c r="N624" s="418"/>
      <c r="O624" s="418"/>
      <c r="P624" s="418"/>
      <c r="Q624" s="418"/>
      <c r="R624" s="418"/>
      <c r="S624" s="418"/>
      <c r="T624" s="418"/>
      <c r="U624" s="418"/>
      <c r="V624" s="418"/>
      <c r="W624" s="418"/>
      <c r="X624" s="418"/>
      <c r="Y624" s="418"/>
      <c r="Z624" s="464"/>
      <c r="AA624" s="464"/>
      <c r="AB624"/>
      <c r="AC624" s="529"/>
      <c r="AE624" s="538"/>
    </row>
    <row r="625" spans="1:32">
      <c r="A625" s="75"/>
      <c r="B625" s="435"/>
      <c r="C625" s="410"/>
      <c r="D625" s="410"/>
      <c r="E625" s="418"/>
      <c r="F625" s="418"/>
      <c r="G625" s="418"/>
      <c r="H625" s="418"/>
      <c r="I625" s="418"/>
      <c r="J625" s="418"/>
      <c r="K625" s="418"/>
      <c r="L625" s="418"/>
      <c r="M625" s="418"/>
      <c r="N625" s="418"/>
      <c r="O625" s="418"/>
      <c r="P625" s="418"/>
      <c r="Q625" s="418"/>
      <c r="R625" s="418"/>
      <c r="S625" s="418"/>
      <c r="T625" s="418"/>
      <c r="U625" s="418"/>
      <c r="V625" s="418"/>
      <c r="W625" s="418"/>
      <c r="X625" s="418"/>
      <c r="Y625" s="418"/>
      <c r="Z625" s="464"/>
      <c r="AA625" s="464"/>
      <c r="AB625"/>
      <c r="AC625" s="529"/>
      <c r="AE625" s="538"/>
    </row>
    <row r="626" spans="1:32" ht="43.5" customHeight="1">
      <c r="A626" s="75" t="s">
        <v>313</v>
      </c>
      <c r="B626" s="490" t="s">
        <v>591</v>
      </c>
      <c r="C626" s="507" t="s">
        <v>524</v>
      </c>
      <c r="D626" s="508" t="s">
        <v>315</v>
      </c>
      <c r="E626" s="393" t="s">
        <v>523</v>
      </c>
      <c r="F626" s="393" t="s">
        <v>525</v>
      </c>
      <c r="G626" s="460" t="s">
        <v>534</v>
      </c>
      <c r="H626" s="393" t="s">
        <v>526</v>
      </c>
      <c r="I626" s="460" t="s">
        <v>535</v>
      </c>
      <c r="J626" s="393" t="s">
        <v>527</v>
      </c>
      <c r="K626" s="460" t="s">
        <v>536</v>
      </c>
      <c r="L626" s="393" t="s">
        <v>528</v>
      </c>
      <c r="M626" s="460" t="s">
        <v>537</v>
      </c>
      <c r="N626" s="393" t="s">
        <v>529</v>
      </c>
      <c r="O626" s="460" t="s">
        <v>538</v>
      </c>
      <c r="P626" s="393" t="s">
        <v>530</v>
      </c>
      <c r="Q626" s="460" t="s">
        <v>539</v>
      </c>
      <c r="R626" s="393" t="s">
        <v>531</v>
      </c>
      <c r="S626" s="460" t="s">
        <v>540</v>
      </c>
      <c r="T626" s="393" t="s">
        <v>532</v>
      </c>
      <c r="U626" s="460" t="s">
        <v>541</v>
      </c>
      <c r="V626" s="393" t="s">
        <v>533</v>
      </c>
      <c r="W626" s="460" t="s">
        <v>542</v>
      </c>
      <c r="X626" s="10"/>
      <c r="Y626" s="393" t="s">
        <v>543</v>
      </c>
      <c r="Z626" s="492"/>
      <c r="AA626" s="493"/>
      <c r="AB626"/>
      <c r="AC626" s="495"/>
      <c r="AE626" s="538"/>
      <c r="AF626" s="497"/>
    </row>
    <row r="627" spans="1:32" ht="49.5" customHeight="1">
      <c r="A627" s="2" t="s">
        <v>590</v>
      </c>
      <c r="B627" s="491" t="s">
        <v>593</v>
      </c>
      <c r="C627" s="23">
        <v>200</v>
      </c>
      <c r="D627" s="23">
        <v>2200</v>
      </c>
      <c r="E627" s="34">
        <v>0</v>
      </c>
      <c r="F627" s="34">
        <v>0.85</v>
      </c>
      <c r="G627" s="34">
        <f>F627-E627</f>
        <v>0.85</v>
      </c>
      <c r="H627" s="34">
        <v>104.8</v>
      </c>
      <c r="I627" s="34">
        <f>H627-F627</f>
        <v>103.95</v>
      </c>
      <c r="J627" s="34">
        <v>106.8</v>
      </c>
      <c r="K627" s="25">
        <f>J627-H627</f>
        <v>2</v>
      </c>
      <c r="L627" s="34">
        <v>112.22799999999999</v>
      </c>
      <c r="M627" s="34">
        <f>L627-J627</f>
        <v>5.4279999999999973</v>
      </c>
      <c r="N627" s="34">
        <v>112.22799999999999</v>
      </c>
      <c r="O627" s="34">
        <f>N627-L627</f>
        <v>0</v>
      </c>
      <c r="P627" s="34">
        <v>112.22799999999999</v>
      </c>
      <c r="Q627" s="25">
        <f>P627-N627</f>
        <v>0</v>
      </c>
      <c r="R627" s="34">
        <v>112.22799999999999</v>
      </c>
      <c r="S627" s="34">
        <f>R627-P627</f>
        <v>0</v>
      </c>
      <c r="T627" s="34"/>
      <c r="U627" s="34"/>
      <c r="V627" s="34"/>
      <c r="W627" s="34"/>
      <c r="X627" s="34"/>
      <c r="Y627" s="25">
        <f>E627+G627+I627+K627+M627+O627+Q627+S627+U627+W627</f>
        <v>112.22799999999999</v>
      </c>
      <c r="Z627" s="494"/>
      <c r="AA627" s="494"/>
      <c r="AB627"/>
      <c r="AC627" s="501" t="s">
        <v>594</v>
      </c>
      <c r="AE627" s="497"/>
      <c r="AF627" s="497"/>
    </row>
    <row r="628" spans="1:32" ht="14.25" customHeight="1">
      <c r="B628" s="41" t="s">
        <v>10</v>
      </c>
      <c r="C628" s="42">
        <f>C627</f>
        <v>200</v>
      </c>
      <c r="D628" s="42">
        <f>D627</f>
        <v>2200</v>
      </c>
      <c r="E628" s="417">
        <f>SUM(E627)</f>
        <v>0</v>
      </c>
      <c r="F628" s="417">
        <f t="shared" ref="F628:W628" si="207">SUM(F627)</f>
        <v>0.85</v>
      </c>
      <c r="G628" s="417">
        <f t="shared" si="207"/>
        <v>0.85</v>
      </c>
      <c r="H628" s="417">
        <f t="shared" si="207"/>
        <v>104.8</v>
      </c>
      <c r="I628" s="417">
        <f t="shared" si="207"/>
        <v>103.95</v>
      </c>
      <c r="J628" s="417">
        <f t="shared" si="207"/>
        <v>106.8</v>
      </c>
      <c r="K628" s="417">
        <f t="shared" si="207"/>
        <v>2</v>
      </c>
      <c r="L628" s="417">
        <f t="shared" si="207"/>
        <v>112.22799999999999</v>
      </c>
      <c r="M628" s="417">
        <f t="shared" si="207"/>
        <v>5.4279999999999973</v>
      </c>
      <c r="N628" s="417">
        <f t="shared" si="207"/>
        <v>112.22799999999999</v>
      </c>
      <c r="O628" s="417">
        <f t="shared" si="207"/>
        <v>0</v>
      </c>
      <c r="P628" s="417">
        <f t="shared" si="207"/>
        <v>112.22799999999999</v>
      </c>
      <c r="Q628" s="417">
        <f t="shared" si="207"/>
        <v>0</v>
      </c>
      <c r="R628" s="417">
        <f t="shared" si="207"/>
        <v>112.22799999999999</v>
      </c>
      <c r="S628" s="417">
        <f t="shared" si="207"/>
        <v>0</v>
      </c>
      <c r="T628" s="417">
        <f t="shared" si="207"/>
        <v>0</v>
      </c>
      <c r="U628" s="417">
        <f t="shared" si="207"/>
        <v>0</v>
      </c>
      <c r="V628" s="417">
        <f t="shared" si="207"/>
        <v>0</v>
      </c>
      <c r="W628" s="417">
        <f t="shared" si="207"/>
        <v>0</v>
      </c>
      <c r="X628" s="417"/>
      <c r="Y628" s="417">
        <f>SUM(Y627)</f>
        <v>112.22799999999999</v>
      </c>
      <c r="Z628" s="41"/>
      <c r="AA628" s="41"/>
      <c r="AB628"/>
      <c r="AC628" s="499">
        <f>Y628+Y618+Y608+Y623+Y613</f>
        <v>21313.250780000006</v>
      </c>
      <c r="AE628" s="417"/>
      <c r="AF628" s="417"/>
    </row>
    <row r="629" spans="1:32" ht="14.25" customHeight="1">
      <c r="B629" s="41"/>
      <c r="C629" s="42"/>
      <c r="D629" s="42"/>
      <c r="E629" s="417"/>
      <c r="F629" s="417"/>
      <c r="G629" s="417"/>
      <c r="H629" s="417"/>
      <c r="I629" s="417"/>
      <c r="J629" s="417"/>
      <c r="K629" s="417"/>
      <c r="L629" s="417"/>
      <c r="M629" s="417"/>
      <c r="N629" s="417"/>
      <c r="O629" s="417"/>
      <c r="P629" s="417"/>
      <c r="Q629" s="417"/>
      <c r="R629" s="417"/>
      <c r="S629" s="417"/>
      <c r="T629" s="417"/>
      <c r="U629" s="417"/>
      <c r="V629" s="417"/>
      <c r="W629" s="417"/>
      <c r="X629" s="417"/>
      <c r="Y629" s="417"/>
      <c r="Z629" s="41"/>
      <c r="AA629" s="41"/>
      <c r="AB629"/>
      <c r="AC629" s="561"/>
      <c r="AE629" s="417"/>
      <c r="AF629" s="417"/>
    </row>
    <row r="630" spans="1:32" ht="15" customHeight="1">
      <c r="A630" s="75"/>
      <c r="B630" s="566" t="s">
        <v>652</v>
      </c>
      <c r="C630" s="565">
        <f>C608+C613+C618+C623+C628</f>
        <v>28846.400000000001</v>
      </c>
      <c r="D630" s="565">
        <f>D608+D613+D618+D623+D628</f>
        <v>32070.46</v>
      </c>
      <c r="E630" s="418"/>
      <c r="F630" s="418"/>
      <c r="G630" s="418"/>
      <c r="H630" s="418"/>
      <c r="I630" s="418"/>
      <c r="J630" s="418"/>
      <c r="K630" s="418"/>
      <c r="L630" s="418"/>
      <c r="M630" s="418"/>
      <c r="N630" s="418"/>
      <c r="O630" s="418"/>
      <c r="P630" s="418"/>
      <c r="Q630" s="418"/>
      <c r="R630" s="418"/>
      <c r="S630" s="418"/>
      <c r="T630" s="418"/>
      <c r="U630" s="418"/>
      <c r="V630" s="418"/>
      <c r="W630" s="418"/>
      <c r="X630" s="418"/>
      <c r="Y630" s="418"/>
      <c r="Z630" s="464"/>
      <c r="AA630" s="464"/>
      <c r="AB630"/>
    </row>
    <row r="631" spans="1:32">
      <c r="A631" s="75"/>
      <c r="B631" s="435"/>
      <c r="C631" s="410"/>
      <c r="D631" s="410"/>
      <c r="E631" s="418"/>
      <c r="F631" s="418"/>
      <c r="G631" s="418"/>
      <c r="H631" s="418"/>
      <c r="I631" s="418"/>
      <c r="J631" s="418"/>
      <c r="K631" s="418"/>
      <c r="L631" s="418"/>
      <c r="M631" s="418"/>
      <c r="N631" s="418"/>
      <c r="O631" s="418"/>
      <c r="P631" s="418"/>
      <c r="Q631" s="418"/>
      <c r="R631" s="418"/>
      <c r="S631" s="418"/>
      <c r="T631" s="418"/>
      <c r="U631" s="418"/>
      <c r="V631" s="418"/>
      <c r="W631" s="418"/>
      <c r="X631" s="418"/>
      <c r="Y631" s="418"/>
      <c r="Z631" s="464"/>
      <c r="AA631" s="464"/>
      <c r="AB631"/>
      <c r="AC631" s="524"/>
    </row>
    <row r="632" spans="1:32">
      <c r="A632" s="75" t="s">
        <v>313</v>
      </c>
      <c r="B632" s="435"/>
      <c r="C632" s="436"/>
      <c r="D632" s="436"/>
      <c r="E632" s="437"/>
      <c r="F632" s="437"/>
      <c r="G632" s="437"/>
      <c r="H632" s="437"/>
      <c r="I632" s="437"/>
      <c r="J632" s="437"/>
      <c r="K632" s="437"/>
      <c r="L632" s="437"/>
      <c r="M632" s="437"/>
      <c r="N632" s="437"/>
      <c r="O632" s="437"/>
      <c r="P632" s="437"/>
      <c r="Q632" s="437"/>
      <c r="R632" s="437"/>
      <c r="S632" s="437"/>
      <c r="T632" s="437"/>
      <c r="U632" s="437"/>
      <c r="V632" s="437"/>
      <c r="W632" s="437"/>
      <c r="X632" s="437"/>
      <c r="Y632" s="437"/>
      <c r="Z632" s="438"/>
      <c r="AA632" s="438"/>
      <c r="AB632"/>
    </row>
    <row r="633" spans="1:32" s="72" customFormat="1">
      <c r="A633" s="75" t="s">
        <v>504</v>
      </c>
      <c r="B633" s="27" t="s">
        <v>334</v>
      </c>
      <c r="C633" s="439">
        <v>80</v>
      </c>
      <c r="D633" s="70">
        <v>80</v>
      </c>
      <c r="E633" s="71">
        <v>18.311299999999999</v>
      </c>
      <c r="F633" s="71">
        <v>24.252099999999999</v>
      </c>
      <c r="G633" s="71">
        <f>F633-E633</f>
        <v>5.9407999999999994</v>
      </c>
      <c r="H633" s="71">
        <v>30.351299999999998</v>
      </c>
      <c r="I633" s="71">
        <f>H633-F633</f>
        <v>6.0991999999999997</v>
      </c>
      <c r="J633" s="71">
        <v>36.972499999999997</v>
      </c>
      <c r="K633" s="25">
        <f>J633-H633</f>
        <v>6.6211999999999982</v>
      </c>
      <c r="L633" s="71">
        <v>44.626899999999999</v>
      </c>
      <c r="M633" s="34">
        <f>L633-J633</f>
        <v>7.6544000000000025</v>
      </c>
      <c r="N633" s="71">
        <v>52.110599999999998</v>
      </c>
      <c r="O633" s="34">
        <f>N633-L633</f>
        <v>7.4836999999999989</v>
      </c>
      <c r="P633" s="71">
        <v>60.646000000000001</v>
      </c>
      <c r="Q633" s="25">
        <f>P633-N633</f>
        <v>8.5354000000000028</v>
      </c>
      <c r="R633" s="71">
        <v>70.141999999999996</v>
      </c>
      <c r="S633" s="34">
        <f>R633-P633</f>
        <v>9.4959999999999951</v>
      </c>
      <c r="T633" s="71"/>
      <c r="U633" s="71"/>
      <c r="V633" s="71"/>
      <c r="W633" s="71"/>
      <c r="X633" s="71"/>
      <c r="Y633" s="25">
        <f>E633+G633+I633+K633+M633+O633+Q633+S633+U633+W633</f>
        <v>70.141999999999996</v>
      </c>
      <c r="Z633" s="478">
        <v>0</v>
      </c>
      <c r="AA633" s="26">
        <f>(Y633/D633)*100</f>
        <v>87.677499999999995</v>
      </c>
      <c r="AB633"/>
      <c r="AC633" s="500"/>
    </row>
    <row r="634" spans="1:32" s="72" customFormat="1">
      <c r="A634" s="81"/>
      <c r="B634" s="401" t="s">
        <v>10</v>
      </c>
      <c r="C634" s="54">
        <f>C633</f>
        <v>80</v>
      </c>
      <c r="D634" s="54">
        <f>D633</f>
        <v>80</v>
      </c>
      <c r="E634" s="440">
        <f>E633</f>
        <v>18.311299999999999</v>
      </c>
      <c r="F634" s="440">
        <f t="shared" ref="F634:Y634" si="208">F633</f>
        <v>24.252099999999999</v>
      </c>
      <c r="G634" s="440">
        <f t="shared" si="208"/>
        <v>5.9407999999999994</v>
      </c>
      <c r="H634" s="440">
        <f t="shared" si="208"/>
        <v>30.351299999999998</v>
      </c>
      <c r="I634" s="440">
        <f t="shared" si="208"/>
        <v>6.0991999999999997</v>
      </c>
      <c r="J634" s="440">
        <f t="shared" si="208"/>
        <v>36.972499999999997</v>
      </c>
      <c r="K634" s="440">
        <f t="shared" si="208"/>
        <v>6.6211999999999982</v>
      </c>
      <c r="L634" s="440">
        <f t="shared" si="208"/>
        <v>44.626899999999999</v>
      </c>
      <c r="M634" s="440">
        <f t="shared" si="208"/>
        <v>7.6544000000000025</v>
      </c>
      <c r="N634" s="440">
        <f t="shared" si="208"/>
        <v>52.110599999999998</v>
      </c>
      <c r="O634" s="440">
        <f t="shared" si="208"/>
        <v>7.4836999999999989</v>
      </c>
      <c r="P634" s="440">
        <f t="shared" si="208"/>
        <v>60.646000000000001</v>
      </c>
      <c r="Q634" s="440">
        <f t="shared" si="208"/>
        <v>8.5354000000000028</v>
      </c>
      <c r="R634" s="440">
        <f t="shared" si="208"/>
        <v>70.141999999999996</v>
      </c>
      <c r="S634" s="440">
        <f t="shared" si="208"/>
        <v>9.4959999999999951</v>
      </c>
      <c r="T634" s="440">
        <f t="shared" si="208"/>
        <v>0</v>
      </c>
      <c r="U634" s="440">
        <f t="shared" si="208"/>
        <v>0</v>
      </c>
      <c r="V634" s="440">
        <f t="shared" si="208"/>
        <v>0</v>
      </c>
      <c r="W634" s="440">
        <f t="shared" si="208"/>
        <v>0</v>
      </c>
      <c r="X634" s="440"/>
      <c r="Y634" s="440">
        <f t="shared" si="208"/>
        <v>70.141999999999996</v>
      </c>
      <c r="Z634" s="401">
        <v>0</v>
      </c>
      <c r="AA634" s="401">
        <f>(Y634/D634)*100</f>
        <v>87.677499999999995</v>
      </c>
      <c r="AB634"/>
      <c r="AC634" s="500"/>
    </row>
    <row r="635" spans="1:32" s="72" customFormat="1">
      <c r="A635" s="75" t="s">
        <v>313</v>
      </c>
      <c r="B635" s="444"/>
      <c r="C635" s="445"/>
      <c r="D635" s="446"/>
      <c r="E635" s="447"/>
      <c r="F635" s="447"/>
      <c r="G635" s="447"/>
      <c r="H635" s="447"/>
      <c r="I635" s="447"/>
      <c r="J635" s="447"/>
      <c r="K635" s="447"/>
      <c r="L635" s="447"/>
      <c r="M635" s="447"/>
      <c r="N635" s="447"/>
      <c r="O635" s="447"/>
      <c r="P635" s="447"/>
      <c r="Q635" s="447"/>
      <c r="R635" s="447"/>
      <c r="S635" s="447"/>
      <c r="T635" s="447"/>
      <c r="U635" s="447"/>
      <c r="V635" s="447"/>
      <c r="W635" s="447"/>
      <c r="X635" s="447"/>
      <c r="Y635" s="447"/>
      <c r="Z635" s="438"/>
      <c r="AA635" s="438"/>
      <c r="AB635"/>
      <c r="AC635" s="500"/>
    </row>
    <row r="636" spans="1:32" s="72" customFormat="1">
      <c r="A636" s="75" t="s">
        <v>505</v>
      </c>
      <c r="B636" s="27" t="s">
        <v>336</v>
      </c>
      <c r="C636" s="439">
        <v>500</v>
      </c>
      <c r="D636" s="536">
        <v>9712.74</v>
      </c>
      <c r="E636" s="536">
        <v>6882.58</v>
      </c>
      <c r="F636" s="536">
        <v>7208.69</v>
      </c>
      <c r="G636" s="536">
        <f>F636-E636</f>
        <v>326.10999999999967</v>
      </c>
      <c r="H636" s="536">
        <v>8007.5069999999996</v>
      </c>
      <c r="I636" s="536">
        <f>H636-F636</f>
        <v>798.81700000000001</v>
      </c>
      <c r="J636" s="536">
        <v>8147.3289999999997</v>
      </c>
      <c r="K636" s="523">
        <f>J636-H636</f>
        <v>139.82200000000012</v>
      </c>
      <c r="L636" s="536">
        <v>8465.2009999999991</v>
      </c>
      <c r="M636" s="522">
        <f>L636-J636</f>
        <v>317.87199999999939</v>
      </c>
      <c r="N636" s="536">
        <v>8585.8520000000008</v>
      </c>
      <c r="O636" s="522">
        <f>N636-L636</f>
        <v>120.65100000000166</v>
      </c>
      <c r="P636" s="536">
        <v>9639.1540000000005</v>
      </c>
      <c r="Q636" s="523">
        <f>P636-N636</f>
        <v>1053.3019999999997</v>
      </c>
      <c r="R636" s="536">
        <v>10109.09</v>
      </c>
      <c r="S636" s="34">
        <f>R636-P636</f>
        <v>469.93599999999969</v>
      </c>
      <c r="T636" s="536"/>
      <c r="U636" s="536"/>
      <c r="V636" s="536"/>
      <c r="W636" s="536"/>
      <c r="X636" s="536"/>
      <c r="Y636" s="523">
        <f>E636+G636+I636+K636+M636+O636+Q636+S636+U636+W636</f>
        <v>10109.09</v>
      </c>
      <c r="Z636" s="478">
        <v>0</v>
      </c>
      <c r="AA636" s="26">
        <f>(Y636/D636)*100</f>
        <v>104.08072284442906</v>
      </c>
      <c r="AB636"/>
      <c r="AC636" s="500"/>
    </row>
    <row r="637" spans="1:32">
      <c r="B637" s="401" t="s">
        <v>10</v>
      </c>
      <c r="C637" s="39">
        <f>C636</f>
        <v>500</v>
      </c>
      <c r="D637" s="39">
        <v>10512.74</v>
      </c>
      <c r="E637" s="40">
        <f>E636</f>
        <v>6882.58</v>
      </c>
      <c r="F637" s="40">
        <f t="shared" ref="F637:Y637" si="209">F636</f>
        <v>7208.69</v>
      </c>
      <c r="G637" s="40">
        <f t="shared" si="209"/>
        <v>326.10999999999967</v>
      </c>
      <c r="H637" s="40">
        <f t="shared" si="209"/>
        <v>8007.5069999999996</v>
      </c>
      <c r="I637" s="40">
        <f t="shared" si="209"/>
        <v>798.81700000000001</v>
      </c>
      <c r="J637" s="40">
        <f t="shared" si="209"/>
        <v>8147.3289999999997</v>
      </c>
      <c r="K637" s="40">
        <f t="shared" si="209"/>
        <v>139.82200000000012</v>
      </c>
      <c r="L637" s="40">
        <f t="shared" si="209"/>
        <v>8465.2009999999991</v>
      </c>
      <c r="M637" s="40">
        <f t="shared" si="209"/>
        <v>317.87199999999939</v>
      </c>
      <c r="N637" s="434">
        <f t="shared" si="209"/>
        <v>8585.8520000000008</v>
      </c>
      <c r="O637" s="434">
        <f t="shared" si="209"/>
        <v>120.65100000000166</v>
      </c>
      <c r="P637" s="434">
        <f t="shared" si="209"/>
        <v>9639.1540000000005</v>
      </c>
      <c r="Q637" s="434">
        <f t="shared" si="209"/>
        <v>1053.3019999999997</v>
      </c>
      <c r="R637" s="434">
        <f t="shared" si="209"/>
        <v>10109.09</v>
      </c>
      <c r="S637" s="434">
        <f t="shared" si="209"/>
        <v>469.93599999999969</v>
      </c>
      <c r="T637" s="434">
        <f t="shared" si="209"/>
        <v>0</v>
      </c>
      <c r="U637" s="434">
        <f t="shared" si="209"/>
        <v>0</v>
      </c>
      <c r="V637" s="434">
        <f t="shared" si="209"/>
        <v>0</v>
      </c>
      <c r="W637" s="434">
        <f t="shared" si="209"/>
        <v>0</v>
      </c>
      <c r="X637" s="434"/>
      <c r="Y637" s="434">
        <f t="shared" si="209"/>
        <v>10109.09</v>
      </c>
      <c r="Z637" s="401">
        <v>0</v>
      </c>
      <c r="AA637" s="401">
        <f>(Y637/D637)*100</f>
        <v>96.160373033100797</v>
      </c>
      <c r="AB637"/>
    </row>
    <row r="638" spans="1:32" s="72" customFormat="1">
      <c r="A638" s="75" t="s">
        <v>313</v>
      </c>
      <c r="B638" s="444"/>
      <c r="C638" s="445"/>
      <c r="D638" s="446"/>
      <c r="E638" s="447"/>
      <c r="F638" s="447"/>
      <c r="G638" s="447"/>
      <c r="H638" s="447"/>
      <c r="I638" s="447"/>
      <c r="J638" s="447"/>
      <c r="K638" s="447"/>
      <c r="L638" s="447"/>
      <c r="M638" s="447"/>
      <c r="N638" s="447"/>
      <c r="O638" s="447"/>
      <c r="P638" s="447"/>
      <c r="Q638" s="447"/>
      <c r="R638" s="447"/>
      <c r="S638" s="447"/>
      <c r="T638" s="447"/>
      <c r="U638" s="447"/>
      <c r="V638" s="447"/>
      <c r="W638" s="447"/>
      <c r="X638" s="447"/>
      <c r="Y638" s="447"/>
      <c r="Z638" s="438"/>
      <c r="AA638" s="438"/>
      <c r="AB638"/>
      <c r="AC638" s="500"/>
    </row>
    <row r="639" spans="1:32" s="72" customFormat="1" ht="25.5">
      <c r="A639" s="75" t="s">
        <v>505</v>
      </c>
      <c r="B639" s="485" t="s">
        <v>628</v>
      </c>
      <c r="C639" s="542"/>
      <c r="D639" s="543">
        <v>444.35</v>
      </c>
      <c r="E639" s="527"/>
      <c r="F639" s="544"/>
      <c r="G639" s="527">
        <f>F639-E639</f>
        <v>0</v>
      </c>
      <c r="H639" s="527"/>
      <c r="I639" s="527">
        <f>H639-F639</f>
        <v>0</v>
      </c>
      <c r="J639" s="527">
        <v>444.35199999999998</v>
      </c>
      <c r="K639" s="25">
        <f>J639-H639</f>
        <v>444.35199999999998</v>
      </c>
      <c r="L639" s="527">
        <v>444.35199999999998</v>
      </c>
      <c r="M639" s="34">
        <f>L639-J639</f>
        <v>0</v>
      </c>
      <c r="N639" s="527">
        <v>444.35199999999998</v>
      </c>
      <c r="O639" s="34">
        <f>N639-L639</f>
        <v>0</v>
      </c>
      <c r="P639" s="527">
        <v>444.35199999999998</v>
      </c>
      <c r="Q639" s="25">
        <f>P639-N639</f>
        <v>0</v>
      </c>
      <c r="R639" s="527">
        <v>444.35199999999998</v>
      </c>
      <c r="S639" s="34">
        <f>R639-P639</f>
        <v>0</v>
      </c>
      <c r="T639" s="527"/>
      <c r="U639" s="527"/>
      <c r="V639" s="527"/>
      <c r="W639" s="527"/>
      <c r="X639" s="527"/>
      <c r="Y639" s="25">
        <f>E639+G639+I639+K639+M639+O639+Q639+S639+U639+W639</f>
        <v>444.35199999999998</v>
      </c>
      <c r="Z639" s="478">
        <v>0</v>
      </c>
      <c r="AA639" s="26">
        <f>(Y639/D639)*100</f>
        <v>100.00045009564531</v>
      </c>
      <c r="AB639"/>
      <c r="AC639" s="500"/>
    </row>
    <row r="640" spans="1:32">
      <c r="B640" s="401" t="s">
        <v>10</v>
      </c>
      <c r="C640" s="39">
        <f>C639</f>
        <v>0</v>
      </c>
      <c r="D640" s="39">
        <f>D639</f>
        <v>444.35</v>
      </c>
      <c r="E640" s="40">
        <f>E639</f>
        <v>0</v>
      </c>
      <c r="F640" s="40">
        <f t="shared" ref="F640:W640" si="210">F639</f>
        <v>0</v>
      </c>
      <c r="G640" s="40">
        <f t="shared" si="210"/>
        <v>0</v>
      </c>
      <c r="H640" s="40">
        <f t="shared" si="210"/>
        <v>0</v>
      </c>
      <c r="I640" s="40">
        <f t="shared" si="210"/>
        <v>0</v>
      </c>
      <c r="J640" s="40">
        <f t="shared" si="210"/>
        <v>444.35199999999998</v>
      </c>
      <c r="K640" s="40">
        <f t="shared" si="210"/>
        <v>444.35199999999998</v>
      </c>
      <c r="L640" s="40">
        <f t="shared" si="210"/>
        <v>444.35199999999998</v>
      </c>
      <c r="M640" s="40">
        <f t="shared" si="210"/>
        <v>0</v>
      </c>
      <c r="N640" s="40">
        <f t="shared" si="210"/>
        <v>444.35199999999998</v>
      </c>
      <c r="O640" s="40">
        <f t="shared" si="210"/>
        <v>0</v>
      </c>
      <c r="P640" s="40">
        <f t="shared" si="210"/>
        <v>444.35199999999998</v>
      </c>
      <c r="Q640" s="40">
        <f t="shared" si="210"/>
        <v>0</v>
      </c>
      <c r="R640" s="40">
        <f t="shared" si="210"/>
        <v>444.35199999999998</v>
      </c>
      <c r="S640" s="40">
        <f t="shared" si="210"/>
        <v>0</v>
      </c>
      <c r="T640" s="40">
        <f t="shared" si="210"/>
        <v>0</v>
      </c>
      <c r="U640" s="40">
        <f t="shared" si="210"/>
        <v>0</v>
      </c>
      <c r="V640" s="40">
        <f t="shared" si="210"/>
        <v>0</v>
      </c>
      <c r="W640" s="40">
        <f t="shared" si="210"/>
        <v>0</v>
      </c>
      <c r="X640" s="40"/>
      <c r="Y640" s="40">
        <f>Y639</f>
        <v>444.35199999999998</v>
      </c>
      <c r="Z640" s="401">
        <v>0</v>
      </c>
      <c r="AA640" s="401">
        <f>(Y640/D640)*100</f>
        <v>100.00045009564531</v>
      </c>
      <c r="AB640"/>
      <c r="AC640" s="552"/>
    </row>
    <row r="641" spans="1:29" ht="17.25" customHeight="1">
      <c r="B641" s="4"/>
      <c r="C641" s="5"/>
      <c r="D641" s="5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395"/>
      <c r="AB641"/>
      <c r="AC641" s="540"/>
    </row>
    <row r="642" spans="1:29" ht="17.25" customHeight="1">
      <c r="B642" s="18" t="s">
        <v>506</v>
      </c>
      <c r="C642" s="19">
        <f>C608+C634+C637+C640</f>
        <v>28686.400000000001</v>
      </c>
      <c r="D642" s="19">
        <f t="shared" ref="D642:Y642" si="211">D608+D634+D637+D640</f>
        <v>38178.009999999995</v>
      </c>
      <c r="E642" s="19">
        <f t="shared" si="211"/>
        <v>12885.683360000003</v>
      </c>
      <c r="F642" s="19">
        <f t="shared" si="211"/>
        <v>15343.688429999998</v>
      </c>
      <c r="G642" s="19">
        <f t="shared" si="211"/>
        <v>2458.0050699999993</v>
      </c>
      <c r="H642" s="19">
        <f t="shared" si="211"/>
        <v>18595.656150000003</v>
      </c>
      <c r="I642" s="19">
        <f t="shared" si="211"/>
        <v>3251.9677200000001</v>
      </c>
      <c r="J642" s="19">
        <f t="shared" si="211"/>
        <v>20402.036619999999</v>
      </c>
      <c r="K642" s="19">
        <f t="shared" si="211"/>
        <v>1806.3804700000005</v>
      </c>
      <c r="L642" s="19">
        <f t="shared" si="211"/>
        <v>23086.789539999998</v>
      </c>
      <c r="M642" s="19">
        <f t="shared" si="211"/>
        <v>2684.7529199999994</v>
      </c>
      <c r="N642" s="19">
        <f t="shared" si="211"/>
        <v>24858.469309999997</v>
      </c>
      <c r="O642" s="19">
        <f t="shared" si="211"/>
        <v>1771.6797700000018</v>
      </c>
      <c r="P642" s="19">
        <f t="shared" si="211"/>
        <v>27763.018149999996</v>
      </c>
      <c r="Q642" s="19">
        <f t="shared" si="211"/>
        <v>2904.5488399999995</v>
      </c>
      <c r="R642" s="19">
        <f t="shared" si="211"/>
        <v>30803.559420000001</v>
      </c>
      <c r="S642" s="19">
        <f t="shared" si="211"/>
        <v>3040.5412700000006</v>
      </c>
      <c r="T642" s="19">
        <f t="shared" si="211"/>
        <v>0</v>
      </c>
      <c r="U642" s="19">
        <f t="shared" si="211"/>
        <v>0</v>
      </c>
      <c r="V642" s="19">
        <f t="shared" si="211"/>
        <v>0</v>
      </c>
      <c r="W642" s="19">
        <f t="shared" si="211"/>
        <v>0</v>
      </c>
      <c r="X642" s="19"/>
      <c r="Y642" s="19">
        <f t="shared" si="211"/>
        <v>30803.559420000001</v>
      </c>
      <c r="Z642" s="479">
        <v>0</v>
      </c>
      <c r="AA642" s="18">
        <f>(Y642/D642)*100</f>
        <v>80.68403622923249</v>
      </c>
      <c r="AB642"/>
    </row>
    <row r="643" spans="1:29" ht="17.25" customHeight="1">
      <c r="B643" s="4"/>
      <c r="C643" s="5"/>
      <c r="D643" s="5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395"/>
      <c r="AB643"/>
    </row>
    <row r="644" spans="1:29" ht="17.25" customHeight="1">
      <c r="B644" s="4"/>
      <c r="C644" s="5"/>
      <c r="D644" s="5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395"/>
      <c r="AB644"/>
    </row>
    <row r="645" spans="1:29" ht="42.75" customHeight="1">
      <c r="A645" s="75" t="s">
        <v>313</v>
      </c>
      <c r="B645" s="8" t="s">
        <v>507</v>
      </c>
      <c r="C645" s="507" t="s">
        <v>524</v>
      </c>
      <c r="D645" s="508" t="s">
        <v>315</v>
      </c>
      <c r="E645" s="393" t="s">
        <v>523</v>
      </c>
      <c r="F645" s="393" t="s">
        <v>525</v>
      </c>
      <c r="G645" s="460" t="s">
        <v>534</v>
      </c>
      <c r="H645" s="393" t="s">
        <v>526</v>
      </c>
      <c r="I645" s="460" t="s">
        <v>535</v>
      </c>
      <c r="J645" s="393" t="s">
        <v>527</v>
      </c>
      <c r="K645" s="460" t="s">
        <v>536</v>
      </c>
      <c r="L645" s="393" t="s">
        <v>528</v>
      </c>
      <c r="M645" s="460" t="s">
        <v>537</v>
      </c>
      <c r="N645" s="393" t="s">
        <v>529</v>
      </c>
      <c r="O645" s="460" t="s">
        <v>538</v>
      </c>
      <c r="P645" s="393" t="s">
        <v>530</v>
      </c>
      <c r="Q645" s="460" t="s">
        <v>539</v>
      </c>
      <c r="R645" s="393" t="s">
        <v>531</v>
      </c>
      <c r="S645" s="460" t="s">
        <v>540</v>
      </c>
      <c r="T645" s="393" t="s">
        <v>532</v>
      </c>
      <c r="U645" s="460" t="s">
        <v>541</v>
      </c>
      <c r="V645" s="393" t="s">
        <v>533</v>
      </c>
      <c r="W645" s="460" t="s">
        <v>542</v>
      </c>
      <c r="X645" s="10"/>
      <c r="Y645" s="393" t="s">
        <v>543</v>
      </c>
      <c r="Z645" s="10" t="s">
        <v>309</v>
      </c>
      <c r="AA645" s="396" t="s">
        <v>7</v>
      </c>
      <c r="AB645"/>
    </row>
    <row r="646" spans="1:29">
      <c r="A646" s="75" t="s">
        <v>508</v>
      </c>
      <c r="B646" s="11" t="s">
        <v>509</v>
      </c>
      <c r="C646" s="31">
        <v>600</v>
      </c>
      <c r="D646" s="13">
        <v>600</v>
      </c>
      <c r="E646" s="466">
        <v>0</v>
      </c>
      <c r="F646" s="14">
        <v>96.57</v>
      </c>
      <c r="G646" s="14">
        <f>F646-E646</f>
        <v>96.57</v>
      </c>
      <c r="H646" s="14">
        <v>188.822</v>
      </c>
      <c r="I646" s="14">
        <f>H646-F646</f>
        <v>92.25200000000001</v>
      </c>
      <c r="J646" s="14">
        <v>188.822</v>
      </c>
      <c r="K646" s="25">
        <f>J646-H646</f>
        <v>0</v>
      </c>
      <c r="L646" s="14">
        <v>188.822</v>
      </c>
      <c r="M646" s="34">
        <f>L646-J646</f>
        <v>0</v>
      </c>
      <c r="N646" s="14">
        <v>279.86200000000002</v>
      </c>
      <c r="O646" s="34">
        <f>N646-L646</f>
        <v>91.04000000000002</v>
      </c>
      <c r="P646" s="14">
        <v>372.779</v>
      </c>
      <c r="Q646" s="25">
        <f>P646-N646</f>
        <v>92.916999999999973</v>
      </c>
      <c r="R646" s="14">
        <v>487.529</v>
      </c>
      <c r="S646" s="34">
        <f>R646-P646</f>
        <v>114.75</v>
      </c>
      <c r="T646" s="14"/>
      <c r="U646" s="14"/>
      <c r="V646" s="14"/>
      <c r="W646" s="14"/>
      <c r="X646" s="14"/>
      <c r="Y646" s="25">
        <f>E646+G646+I646+K646+M646+O646+Q646+S646+U646+W646</f>
        <v>487.529</v>
      </c>
      <c r="Z646" s="478">
        <v>0</v>
      </c>
      <c r="AA646" s="26">
        <f>(Y646/D646)*100</f>
        <v>81.254833333333337</v>
      </c>
      <c r="AB646"/>
    </row>
    <row r="647" spans="1:29">
      <c r="B647" s="18" t="s">
        <v>10</v>
      </c>
      <c r="C647" s="19">
        <f>SUM(C646)</f>
        <v>600</v>
      </c>
      <c r="D647" s="19">
        <f>SUM(D646)</f>
        <v>600</v>
      </c>
      <c r="E647" s="20">
        <f>SUM(E646)</f>
        <v>0</v>
      </c>
      <c r="F647" s="20">
        <f t="shared" ref="F647:Y647" si="212">SUM(F646)</f>
        <v>96.57</v>
      </c>
      <c r="G647" s="20">
        <f t="shared" si="212"/>
        <v>96.57</v>
      </c>
      <c r="H647" s="20">
        <f t="shared" si="212"/>
        <v>188.822</v>
      </c>
      <c r="I647" s="20">
        <f t="shared" si="212"/>
        <v>92.25200000000001</v>
      </c>
      <c r="J647" s="20">
        <f t="shared" si="212"/>
        <v>188.822</v>
      </c>
      <c r="K647" s="20">
        <f t="shared" si="212"/>
        <v>0</v>
      </c>
      <c r="L647" s="20">
        <f t="shared" si="212"/>
        <v>188.822</v>
      </c>
      <c r="M647" s="20">
        <f t="shared" si="212"/>
        <v>0</v>
      </c>
      <c r="N647" s="20">
        <f t="shared" si="212"/>
        <v>279.86200000000002</v>
      </c>
      <c r="O647" s="20">
        <f t="shared" si="212"/>
        <v>91.04000000000002</v>
      </c>
      <c r="P647" s="20">
        <f t="shared" si="212"/>
        <v>372.779</v>
      </c>
      <c r="Q647" s="20">
        <f t="shared" si="212"/>
        <v>92.916999999999973</v>
      </c>
      <c r="R647" s="20">
        <f t="shared" si="212"/>
        <v>487.529</v>
      </c>
      <c r="S647" s="20">
        <f t="shared" si="212"/>
        <v>114.75</v>
      </c>
      <c r="T647" s="20">
        <f t="shared" si="212"/>
        <v>0</v>
      </c>
      <c r="U647" s="20">
        <f t="shared" si="212"/>
        <v>0</v>
      </c>
      <c r="V647" s="20">
        <f t="shared" si="212"/>
        <v>0</v>
      </c>
      <c r="W647" s="20">
        <f t="shared" si="212"/>
        <v>0</v>
      </c>
      <c r="X647" s="20"/>
      <c r="Y647" s="20">
        <f t="shared" si="212"/>
        <v>487.529</v>
      </c>
      <c r="Z647" s="479">
        <v>0</v>
      </c>
      <c r="AA647" s="18">
        <f>(Y647/D647)*100</f>
        <v>81.254833333333337</v>
      </c>
      <c r="AB647"/>
    </row>
    <row r="648" spans="1:29" ht="17.25" customHeight="1">
      <c r="B648" s="4"/>
      <c r="C648" s="5"/>
      <c r="D648" s="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395"/>
      <c r="AB648"/>
    </row>
    <row r="649" spans="1:29" ht="17.25" customHeight="1">
      <c r="B649" s="4"/>
      <c r="C649" s="5"/>
      <c r="D649" s="5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395"/>
      <c r="AB649"/>
    </row>
    <row r="650" spans="1:29" ht="42.75" customHeight="1">
      <c r="A650" s="75" t="s">
        <v>313</v>
      </c>
      <c r="B650" s="8" t="s">
        <v>31</v>
      </c>
      <c r="C650" s="507" t="s">
        <v>524</v>
      </c>
      <c r="D650" s="508" t="s">
        <v>315</v>
      </c>
      <c r="E650" s="393" t="s">
        <v>523</v>
      </c>
      <c r="F650" s="393" t="s">
        <v>525</v>
      </c>
      <c r="G650" s="460" t="s">
        <v>534</v>
      </c>
      <c r="H650" s="393" t="s">
        <v>526</v>
      </c>
      <c r="I650" s="460" t="s">
        <v>535</v>
      </c>
      <c r="J650" s="393" t="s">
        <v>527</v>
      </c>
      <c r="K650" s="460" t="s">
        <v>536</v>
      </c>
      <c r="L650" s="393" t="s">
        <v>528</v>
      </c>
      <c r="M650" s="460" t="s">
        <v>537</v>
      </c>
      <c r="N650" s="393" t="s">
        <v>529</v>
      </c>
      <c r="O650" s="460" t="s">
        <v>538</v>
      </c>
      <c r="P650" s="393" t="s">
        <v>530</v>
      </c>
      <c r="Q650" s="460" t="s">
        <v>539</v>
      </c>
      <c r="R650" s="393" t="s">
        <v>531</v>
      </c>
      <c r="S650" s="460" t="s">
        <v>540</v>
      </c>
      <c r="T650" s="393" t="s">
        <v>532</v>
      </c>
      <c r="U650" s="460" t="s">
        <v>541</v>
      </c>
      <c r="V650" s="393" t="s">
        <v>533</v>
      </c>
      <c r="W650" s="460" t="s">
        <v>542</v>
      </c>
      <c r="X650" s="10"/>
      <c r="Y650" s="393" t="s">
        <v>543</v>
      </c>
      <c r="Z650" s="10" t="s">
        <v>309</v>
      </c>
      <c r="AA650" s="396" t="s">
        <v>7</v>
      </c>
      <c r="AB650"/>
      <c r="AC650" s="524"/>
    </row>
    <row r="651" spans="1:29">
      <c r="A651" s="75" t="s">
        <v>508</v>
      </c>
      <c r="B651" s="11" t="s">
        <v>510</v>
      </c>
      <c r="C651" s="23"/>
      <c r="D651" s="13">
        <v>200000</v>
      </c>
      <c r="E651" s="14">
        <v>38057.257129999998</v>
      </c>
      <c r="F651" s="536">
        <v>56769.021639999999</v>
      </c>
      <c r="G651" s="14">
        <f>F651-E651</f>
        <v>18711.764510000001</v>
      </c>
      <c r="H651" s="536">
        <v>72577.208159999995</v>
      </c>
      <c r="I651" s="536">
        <f>H651-F651</f>
        <v>15808.186519999996</v>
      </c>
      <c r="J651" s="13">
        <v>83936.758530000006</v>
      </c>
      <c r="K651" s="13">
        <f>J651-H651</f>
        <v>11359.550370000012</v>
      </c>
      <c r="L651" s="13">
        <v>100122.92402999999</v>
      </c>
      <c r="M651" s="13">
        <f>L651-J651</f>
        <v>16186.165499999988</v>
      </c>
      <c r="N651" s="14">
        <v>113014.07444</v>
      </c>
      <c r="O651" s="34">
        <f>N651-L651</f>
        <v>12891.150410000002</v>
      </c>
      <c r="P651" s="14">
        <v>123896.34961</v>
      </c>
      <c r="Q651" s="25">
        <f>P651-N651</f>
        <v>10882.275170000008</v>
      </c>
      <c r="R651" s="14">
        <v>151225.86760999999</v>
      </c>
      <c r="S651" s="34">
        <f>R651-P651</f>
        <v>27329.517999999982</v>
      </c>
      <c r="T651" s="14"/>
      <c r="U651" s="14"/>
      <c r="V651" s="14"/>
      <c r="W651" s="14"/>
      <c r="X651" s="14"/>
      <c r="Y651" s="25">
        <f>E651+G651+I651+K651+M651+O651+Q651+S651+U651+W651</f>
        <v>151225.86760999999</v>
      </c>
      <c r="Z651" s="478">
        <v>0</v>
      </c>
      <c r="AA651" s="26">
        <f>(Y651/D651)*100</f>
        <v>75.612933804999997</v>
      </c>
      <c r="AB651"/>
    </row>
    <row r="652" spans="1:29">
      <c r="B652" s="18" t="s">
        <v>10</v>
      </c>
      <c r="C652" s="19">
        <f>SUM(C651)</f>
        <v>0</v>
      </c>
      <c r="D652" s="19">
        <f>SUM(D651)</f>
        <v>200000</v>
      </c>
      <c r="E652" s="487">
        <f>SUM(E651)</f>
        <v>38057.257129999998</v>
      </c>
      <c r="F652" s="487">
        <f t="shared" ref="F652:Y652" si="213">SUM(F651)</f>
        <v>56769.021639999999</v>
      </c>
      <c r="G652" s="487">
        <f t="shared" si="213"/>
        <v>18711.764510000001</v>
      </c>
      <c r="H652" s="487">
        <f t="shared" si="213"/>
        <v>72577.208159999995</v>
      </c>
      <c r="I652" s="487">
        <f t="shared" si="213"/>
        <v>15808.186519999996</v>
      </c>
      <c r="J652" s="487">
        <f t="shared" si="213"/>
        <v>83936.758530000006</v>
      </c>
      <c r="K652" s="487">
        <f t="shared" si="213"/>
        <v>11359.550370000012</v>
      </c>
      <c r="L652" s="567">
        <f t="shared" si="213"/>
        <v>100122.92402999999</v>
      </c>
      <c r="M652" s="487">
        <f t="shared" si="213"/>
        <v>16186.165499999988</v>
      </c>
      <c r="N652" s="567">
        <f t="shared" si="213"/>
        <v>113014.07444</v>
      </c>
      <c r="O652" s="567">
        <f t="shared" si="213"/>
        <v>12891.150410000002</v>
      </c>
      <c r="P652" s="567">
        <f t="shared" si="213"/>
        <v>123896.34961</v>
      </c>
      <c r="Q652" s="567">
        <f t="shared" si="213"/>
        <v>10882.275170000008</v>
      </c>
      <c r="R652" s="567">
        <f t="shared" si="213"/>
        <v>151225.86760999999</v>
      </c>
      <c r="S652" s="567">
        <f t="shared" si="213"/>
        <v>27329.517999999982</v>
      </c>
      <c r="T652" s="567">
        <f t="shared" si="213"/>
        <v>0</v>
      </c>
      <c r="U652" s="567">
        <f t="shared" si="213"/>
        <v>0</v>
      </c>
      <c r="V652" s="567">
        <f t="shared" si="213"/>
        <v>0</v>
      </c>
      <c r="W652" s="567">
        <f t="shared" si="213"/>
        <v>0</v>
      </c>
      <c r="X652" s="567"/>
      <c r="Y652" s="567">
        <f t="shared" si="213"/>
        <v>151225.86760999999</v>
      </c>
      <c r="Z652" s="479">
        <v>0</v>
      </c>
      <c r="AA652" s="18">
        <f>(Y652/D652)*100</f>
        <v>75.612933804999997</v>
      </c>
      <c r="AB652"/>
    </row>
    <row r="653" spans="1:29" ht="17.25" customHeight="1">
      <c r="B653" s="4"/>
      <c r="C653" s="5"/>
      <c r="D653" s="5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395"/>
      <c r="AB653"/>
    </row>
    <row r="654" spans="1:29" ht="17.25" customHeight="1">
      <c r="B654" s="4"/>
      <c r="C654" s="5"/>
      <c r="D654" s="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395"/>
      <c r="AB654"/>
    </row>
    <row r="655" spans="1:29" ht="39.75" customHeight="1">
      <c r="A655" s="75" t="s">
        <v>313</v>
      </c>
      <c r="B655" s="8" t="s">
        <v>511</v>
      </c>
      <c r="C655" s="507" t="s">
        <v>524</v>
      </c>
      <c r="D655" s="508" t="s">
        <v>315</v>
      </c>
      <c r="E655" s="393" t="s">
        <v>523</v>
      </c>
      <c r="F655" s="393" t="s">
        <v>525</v>
      </c>
      <c r="G655" s="460" t="s">
        <v>534</v>
      </c>
      <c r="H655" s="393" t="s">
        <v>526</v>
      </c>
      <c r="I655" s="460" t="s">
        <v>535</v>
      </c>
      <c r="J655" s="393" t="s">
        <v>527</v>
      </c>
      <c r="K655" s="460" t="s">
        <v>536</v>
      </c>
      <c r="L655" s="393" t="s">
        <v>528</v>
      </c>
      <c r="M655" s="460" t="s">
        <v>537</v>
      </c>
      <c r="N655" s="393" t="s">
        <v>529</v>
      </c>
      <c r="O655" s="460" t="s">
        <v>538</v>
      </c>
      <c r="P655" s="393" t="s">
        <v>530</v>
      </c>
      <c r="Q655" s="460" t="s">
        <v>539</v>
      </c>
      <c r="R655" s="393" t="s">
        <v>531</v>
      </c>
      <c r="S655" s="460" t="s">
        <v>540</v>
      </c>
      <c r="T655" s="393" t="s">
        <v>532</v>
      </c>
      <c r="U655" s="460" t="s">
        <v>541</v>
      </c>
      <c r="V655" s="393" t="s">
        <v>533</v>
      </c>
      <c r="W655" s="460" t="s">
        <v>542</v>
      </c>
      <c r="X655" s="10"/>
      <c r="Y655" s="393" t="s">
        <v>543</v>
      </c>
      <c r="Z655" s="10" t="s">
        <v>309</v>
      </c>
      <c r="AA655" s="396" t="s">
        <v>7</v>
      </c>
      <c r="AB655"/>
    </row>
    <row r="656" spans="1:29" ht="25.5" customHeight="1">
      <c r="A656" s="75" t="s">
        <v>512</v>
      </c>
      <c r="B656" s="433" t="s">
        <v>513</v>
      </c>
      <c r="C656" s="33">
        <v>85</v>
      </c>
      <c r="D656" s="23">
        <v>85</v>
      </c>
      <c r="E656" s="34">
        <v>78.08</v>
      </c>
      <c r="F656" s="34">
        <v>78.08</v>
      </c>
      <c r="G656" s="34"/>
      <c r="H656" s="34">
        <v>78.08</v>
      </c>
      <c r="I656" s="34">
        <f>H656-F656</f>
        <v>0</v>
      </c>
      <c r="J656" s="34">
        <v>78.08</v>
      </c>
      <c r="K656" s="25">
        <f>J656-H656</f>
        <v>0</v>
      </c>
      <c r="L656" s="34">
        <v>78.08</v>
      </c>
      <c r="M656" s="34">
        <f>L656-J656</f>
        <v>0</v>
      </c>
      <c r="N656" s="34">
        <v>78.08</v>
      </c>
      <c r="O656" s="34">
        <f>N656-L656</f>
        <v>0</v>
      </c>
      <c r="P656" s="34">
        <v>81.897999999999996</v>
      </c>
      <c r="Q656" s="25">
        <f>P656-N656</f>
        <v>3.8179999999999978</v>
      </c>
      <c r="R656" s="34">
        <v>81.897999999999996</v>
      </c>
      <c r="S656" s="34">
        <f>R656-P656</f>
        <v>0</v>
      </c>
      <c r="T656" s="34"/>
      <c r="U656" s="34"/>
      <c r="V656" s="34"/>
      <c r="W656" s="34"/>
      <c r="X656" s="34"/>
      <c r="Y656" s="25">
        <f>E656+G656+I656+K656+M656+O656+Q656+S656+U656+W656</f>
        <v>81.897999999999996</v>
      </c>
      <c r="Z656" s="478">
        <v>0</v>
      </c>
      <c r="AA656" s="26">
        <f>(Y656/D656)*100</f>
        <v>96.350588235294111</v>
      </c>
      <c r="AB656"/>
    </row>
    <row r="657" spans="1:28" ht="14.25" customHeight="1">
      <c r="B657" s="18" t="s">
        <v>10</v>
      </c>
      <c r="C657" s="19">
        <f>SUM(C656)</f>
        <v>85</v>
      </c>
      <c r="D657" s="19">
        <f>SUM(D656)</f>
        <v>85</v>
      </c>
      <c r="E657" s="20">
        <f>SUM(E656)</f>
        <v>78.08</v>
      </c>
      <c r="F657" s="20">
        <f t="shared" ref="F657:Y657" si="214">SUM(F656)</f>
        <v>78.08</v>
      </c>
      <c r="G657" s="20">
        <f t="shared" si="214"/>
        <v>0</v>
      </c>
      <c r="H657" s="20">
        <f t="shared" si="214"/>
        <v>78.08</v>
      </c>
      <c r="I657" s="20">
        <f t="shared" si="214"/>
        <v>0</v>
      </c>
      <c r="J657" s="20">
        <f t="shared" si="214"/>
        <v>78.08</v>
      </c>
      <c r="K657" s="20">
        <f t="shared" si="214"/>
        <v>0</v>
      </c>
      <c r="L657" s="20">
        <f t="shared" si="214"/>
        <v>78.08</v>
      </c>
      <c r="M657" s="20">
        <f t="shared" si="214"/>
        <v>0</v>
      </c>
      <c r="N657" s="20">
        <f t="shared" si="214"/>
        <v>78.08</v>
      </c>
      <c r="O657" s="20">
        <f t="shared" si="214"/>
        <v>0</v>
      </c>
      <c r="P657" s="20">
        <f t="shared" si="214"/>
        <v>81.897999999999996</v>
      </c>
      <c r="Q657" s="20">
        <f t="shared" si="214"/>
        <v>3.8179999999999978</v>
      </c>
      <c r="R657" s="20">
        <f t="shared" si="214"/>
        <v>81.897999999999996</v>
      </c>
      <c r="S657" s="20">
        <f t="shared" si="214"/>
        <v>0</v>
      </c>
      <c r="T657" s="20">
        <f t="shared" si="214"/>
        <v>0</v>
      </c>
      <c r="U657" s="20">
        <f t="shared" si="214"/>
        <v>0</v>
      </c>
      <c r="V657" s="20">
        <f t="shared" si="214"/>
        <v>0</v>
      </c>
      <c r="W657" s="20">
        <f t="shared" si="214"/>
        <v>0</v>
      </c>
      <c r="X657" s="20"/>
      <c r="Y657" s="20">
        <f t="shared" si="214"/>
        <v>81.897999999999996</v>
      </c>
      <c r="Z657" s="479">
        <v>0</v>
      </c>
      <c r="AA657" s="18">
        <f>(Y657/D657)*100</f>
        <v>96.350588235294111</v>
      </c>
      <c r="AB657"/>
    </row>
    <row r="658" spans="1:28" ht="17.25" customHeight="1">
      <c r="B658" s="4"/>
      <c r="C658" s="5"/>
      <c r="D658" s="5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395"/>
      <c r="AB658"/>
    </row>
    <row r="659" spans="1:28" ht="17.25" customHeight="1">
      <c r="B659" s="4"/>
      <c r="C659" s="5"/>
      <c r="D659" s="5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395"/>
      <c r="AB659"/>
    </row>
    <row r="660" spans="1:28" ht="39" customHeight="1">
      <c r="B660" s="8" t="s">
        <v>514</v>
      </c>
      <c r="C660" s="507" t="s">
        <v>524</v>
      </c>
      <c r="D660" s="508" t="s">
        <v>315</v>
      </c>
      <c r="E660" s="393" t="s">
        <v>523</v>
      </c>
      <c r="F660" s="393" t="s">
        <v>525</v>
      </c>
      <c r="G660" s="460" t="s">
        <v>534</v>
      </c>
      <c r="H660" s="393" t="s">
        <v>526</v>
      </c>
      <c r="I660" s="460" t="s">
        <v>535</v>
      </c>
      <c r="J660" s="393" t="s">
        <v>527</v>
      </c>
      <c r="K660" s="460" t="s">
        <v>536</v>
      </c>
      <c r="L660" s="393" t="s">
        <v>528</v>
      </c>
      <c r="M660" s="460" t="s">
        <v>537</v>
      </c>
      <c r="N660" s="393" t="s">
        <v>529</v>
      </c>
      <c r="O660" s="460" t="s">
        <v>538</v>
      </c>
      <c r="P660" s="393" t="s">
        <v>530</v>
      </c>
      <c r="Q660" s="460" t="s">
        <v>539</v>
      </c>
      <c r="R660" s="393" t="s">
        <v>531</v>
      </c>
      <c r="S660" s="460" t="s">
        <v>540</v>
      </c>
      <c r="T660" s="393" t="s">
        <v>532</v>
      </c>
      <c r="U660" s="460" t="s">
        <v>541</v>
      </c>
      <c r="V660" s="393" t="s">
        <v>533</v>
      </c>
      <c r="W660" s="460" t="s">
        <v>542</v>
      </c>
      <c r="X660" s="10"/>
      <c r="Y660" s="393" t="s">
        <v>543</v>
      </c>
      <c r="Z660" s="10" t="s">
        <v>309</v>
      </c>
      <c r="AA660" s="396" t="s">
        <v>7</v>
      </c>
      <c r="AB660"/>
    </row>
    <row r="661" spans="1:28">
      <c r="A661" s="75" t="s">
        <v>313</v>
      </c>
      <c r="B661" s="79"/>
      <c r="C661" s="513"/>
      <c r="D661" s="513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448"/>
      <c r="AB661"/>
    </row>
    <row r="662" spans="1:28" ht="28.5" customHeight="1">
      <c r="A662" s="75" t="s">
        <v>515</v>
      </c>
      <c r="B662" s="399" t="s">
        <v>516</v>
      </c>
      <c r="C662" s="33">
        <v>50</v>
      </c>
      <c r="D662" s="23">
        <v>50</v>
      </c>
      <c r="E662" s="466">
        <v>0</v>
      </c>
      <c r="F662" s="34"/>
      <c r="G662" s="34"/>
      <c r="H662" s="34"/>
      <c r="I662" s="34">
        <f>H662-F662</f>
        <v>0</v>
      </c>
      <c r="J662" s="34"/>
      <c r="K662" s="25">
        <f>J662-H662</f>
        <v>0</v>
      </c>
      <c r="L662" s="34"/>
      <c r="M662" s="34">
        <f>L662-J662</f>
        <v>0</v>
      </c>
      <c r="N662" s="34"/>
      <c r="O662" s="34"/>
      <c r="P662" s="34"/>
      <c r="Q662" s="25">
        <f>P662-N662</f>
        <v>0</v>
      </c>
      <c r="R662" s="34"/>
      <c r="S662" s="34"/>
      <c r="T662" s="34"/>
      <c r="U662" s="34"/>
      <c r="V662" s="34"/>
      <c r="W662" s="34"/>
      <c r="X662" s="34"/>
      <c r="Y662" s="25">
        <f>E662+G662+I662+K662+M662+O662+Q662+S662+U662+W662</f>
        <v>0</v>
      </c>
      <c r="Z662" s="478">
        <v>0</v>
      </c>
      <c r="AA662" s="26">
        <f>(Y662/D662)*100</f>
        <v>0</v>
      </c>
      <c r="AB662"/>
    </row>
    <row r="663" spans="1:28">
      <c r="A663" s="75" t="s">
        <v>517</v>
      </c>
      <c r="B663" s="11" t="s">
        <v>518</v>
      </c>
      <c r="C663" s="31">
        <v>50</v>
      </c>
      <c r="D663" s="23">
        <v>50</v>
      </c>
      <c r="E663" s="466">
        <v>0</v>
      </c>
      <c r="F663" s="34"/>
      <c r="G663" s="34"/>
      <c r="H663" s="34"/>
      <c r="I663" s="34">
        <f>H663-F663</f>
        <v>0</v>
      </c>
      <c r="J663" s="34"/>
      <c r="K663" s="25">
        <f>J663-H663</f>
        <v>0</v>
      </c>
      <c r="L663" s="34"/>
      <c r="M663" s="34">
        <f>L663-J663</f>
        <v>0</v>
      </c>
      <c r="N663" s="34"/>
      <c r="O663" s="34"/>
      <c r="P663" s="34"/>
      <c r="Q663" s="25">
        <f>P663-N663</f>
        <v>0</v>
      </c>
      <c r="R663" s="34"/>
      <c r="S663" s="34"/>
      <c r="T663" s="34"/>
      <c r="U663" s="34"/>
      <c r="V663" s="34"/>
      <c r="W663" s="34"/>
      <c r="X663" s="34"/>
      <c r="Y663" s="25">
        <f>E663+G663+I663+K663+M663+O663+Q663+S663+U663+W663</f>
        <v>0</v>
      </c>
      <c r="Z663" s="478">
        <v>0</v>
      </c>
      <c r="AA663" s="26">
        <f>(Y663/D663)*100</f>
        <v>0</v>
      </c>
      <c r="AB663"/>
    </row>
    <row r="664" spans="1:28">
      <c r="A664" s="75" t="s">
        <v>481</v>
      </c>
      <c r="B664" s="11" t="s">
        <v>519</v>
      </c>
      <c r="C664" s="31">
        <v>150</v>
      </c>
      <c r="D664" s="13">
        <v>150</v>
      </c>
      <c r="E664" s="466">
        <v>0</v>
      </c>
      <c r="F664" s="14"/>
      <c r="G664" s="14"/>
      <c r="H664" s="14"/>
      <c r="I664" s="34">
        <f>H664-F664</f>
        <v>0</v>
      </c>
      <c r="J664" s="14"/>
      <c r="K664" s="25">
        <f>J664-H664</f>
        <v>0</v>
      </c>
      <c r="L664" s="14"/>
      <c r="M664" s="34">
        <f>L664-J664</f>
        <v>0</v>
      </c>
      <c r="N664" s="14"/>
      <c r="O664" s="14"/>
      <c r="P664" s="14"/>
      <c r="Q664" s="25">
        <f>P664-N664</f>
        <v>0</v>
      </c>
      <c r="R664" s="14"/>
      <c r="S664" s="14"/>
      <c r="T664" s="14"/>
      <c r="U664" s="14"/>
      <c r="V664" s="14"/>
      <c r="W664" s="14"/>
      <c r="X664" s="14"/>
      <c r="Y664" s="25">
        <f>E664+G664+I664+K664+M664+O664+Q664+S664+U664+W664</f>
        <v>0</v>
      </c>
      <c r="Z664" s="478">
        <v>0</v>
      </c>
      <c r="AA664" s="26">
        <f>(Y664/D664)*100</f>
        <v>0</v>
      </c>
      <c r="AB664"/>
    </row>
    <row r="665" spans="1:28">
      <c r="B665" s="18" t="s">
        <v>10</v>
      </c>
      <c r="C665" s="19">
        <f>SUM(C662:C664)</f>
        <v>250</v>
      </c>
      <c r="D665" s="19">
        <f>SUM(D662:D664)</f>
        <v>250</v>
      </c>
      <c r="E665" s="20">
        <f>SUM(E662:E664)</f>
        <v>0</v>
      </c>
      <c r="F665" s="20">
        <f t="shared" ref="F665:Y665" si="215">SUM(F662:F664)</f>
        <v>0</v>
      </c>
      <c r="G665" s="20">
        <f t="shared" si="215"/>
        <v>0</v>
      </c>
      <c r="H665" s="20">
        <f t="shared" si="215"/>
        <v>0</v>
      </c>
      <c r="I665" s="20">
        <f t="shared" si="215"/>
        <v>0</v>
      </c>
      <c r="J665" s="20">
        <f t="shared" si="215"/>
        <v>0</v>
      </c>
      <c r="K665" s="20">
        <f t="shared" si="215"/>
        <v>0</v>
      </c>
      <c r="L665" s="20">
        <f t="shared" si="215"/>
        <v>0</v>
      </c>
      <c r="M665" s="20">
        <f t="shared" si="215"/>
        <v>0</v>
      </c>
      <c r="N665" s="20">
        <f t="shared" si="215"/>
        <v>0</v>
      </c>
      <c r="O665" s="20">
        <f t="shared" si="215"/>
        <v>0</v>
      </c>
      <c r="P665" s="20">
        <f t="shared" si="215"/>
        <v>0</v>
      </c>
      <c r="Q665" s="20">
        <f t="shared" si="215"/>
        <v>0</v>
      </c>
      <c r="R665" s="20">
        <f t="shared" si="215"/>
        <v>0</v>
      </c>
      <c r="S665" s="20">
        <f t="shared" si="215"/>
        <v>0</v>
      </c>
      <c r="T665" s="20">
        <f t="shared" si="215"/>
        <v>0</v>
      </c>
      <c r="U665" s="20">
        <f t="shared" si="215"/>
        <v>0</v>
      </c>
      <c r="V665" s="20">
        <f t="shared" si="215"/>
        <v>0</v>
      </c>
      <c r="W665" s="20">
        <f t="shared" si="215"/>
        <v>0</v>
      </c>
      <c r="X665" s="20"/>
      <c r="Y665" s="20">
        <f t="shared" si="215"/>
        <v>0</v>
      </c>
      <c r="Z665" s="479">
        <v>0</v>
      </c>
      <c r="AA665" s="18">
        <f>(Y665/D665)*100</f>
        <v>0</v>
      </c>
      <c r="AB665"/>
    </row>
    <row r="666" spans="1:28" ht="17.25" customHeight="1">
      <c r="B666" s="4"/>
      <c r="C666" s="5"/>
      <c r="D666" s="5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395"/>
      <c r="AB666"/>
    </row>
    <row r="667" spans="1:28" ht="17.25" customHeight="1">
      <c r="B667" s="4"/>
      <c r="C667" s="5"/>
      <c r="D667" s="5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395"/>
      <c r="AB667"/>
    </row>
    <row r="668" spans="1:28" ht="42.75" customHeight="1">
      <c r="A668" s="75" t="s">
        <v>313</v>
      </c>
      <c r="B668" s="8" t="s">
        <v>311</v>
      </c>
      <c r="C668" s="507" t="s">
        <v>524</v>
      </c>
      <c r="D668" s="508" t="s">
        <v>315</v>
      </c>
      <c r="E668" s="393" t="s">
        <v>523</v>
      </c>
      <c r="F668" s="393" t="s">
        <v>525</v>
      </c>
      <c r="G668" s="460" t="s">
        <v>534</v>
      </c>
      <c r="H668" s="393" t="s">
        <v>526</v>
      </c>
      <c r="I668" s="460" t="s">
        <v>535</v>
      </c>
      <c r="J668" s="393" t="s">
        <v>527</v>
      </c>
      <c r="K668" s="460" t="s">
        <v>536</v>
      </c>
      <c r="L668" s="393" t="s">
        <v>528</v>
      </c>
      <c r="M668" s="460" t="s">
        <v>537</v>
      </c>
      <c r="N668" s="393" t="s">
        <v>529</v>
      </c>
      <c r="O668" s="460" t="s">
        <v>538</v>
      </c>
      <c r="P668" s="393" t="s">
        <v>530</v>
      </c>
      <c r="Q668" s="460" t="s">
        <v>539</v>
      </c>
      <c r="R668" s="393" t="s">
        <v>531</v>
      </c>
      <c r="S668" s="460" t="s">
        <v>540</v>
      </c>
      <c r="T668" s="393" t="s">
        <v>532</v>
      </c>
      <c r="U668" s="460" t="s">
        <v>541</v>
      </c>
      <c r="V668" s="393" t="s">
        <v>533</v>
      </c>
      <c r="W668" s="460" t="s">
        <v>542</v>
      </c>
      <c r="X668" s="10"/>
      <c r="Y668" s="393" t="s">
        <v>543</v>
      </c>
      <c r="Z668" s="10" t="s">
        <v>309</v>
      </c>
      <c r="AA668" s="396" t="s">
        <v>7</v>
      </c>
      <c r="AB668"/>
    </row>
    <row r="669" spans="1:28" ht="25.5">
      <c r="A669" s="75" t="s">
        <v>520</v>
      </c>
      <c r="B669" s="471" t="s">
        <v>521</v>
      </c>
      <c r="C669" s="33">
        <v>15</v>
      </c>
      <c r="D669" s="23">
        <v>15</v>
      </c>
      <c r="E669" s="34">
        <v>8.74099</v>
      </c>
      <c r="F669" s="34">
        <v>8.74099</v>
      </c>
      <c r="G669" s="34"/>
      <c r="H669" s="34">
        <v>8.74099</v>
      </c>
      <c r="I669" s="34">
        <f>H669-F669</f>
        <v>0</v>
      </c>
      <c r="J669" s="34">
        <v>8.74099</v>
      </c>
      <c r="K669" s="25">
        <f>J669-H669</f>
        <v>0</v>
      </c>
      <c r="L669" s="34">
        <v>8.74099</v>
      </c>
      <c r="M669" s="34">
        <f>L669-J669</f>
        <v>0</v>
      </c>
      <c r="N669" s="34">
        <v>8.74099</v>
      </c>
      <c r="O669" s="34">
        <f>N669-L669</f>
        <v>0</v>
      </c>
      <c r="P669" s="34">
        <v>8.74099</v>
      </c>
      <c r="Q669" s="25">
        <f>P669-N669</f>
        <v>0</v>
      </c>
      <c r="R669" s="34">
        <v>8.74099</v>
      </c>
      <c r="S669" s="34">
        <f>R669-P669</f>
        <v>0</v>
      </c>
      <c r="T669" s="34"/>
      <c r="U669" s="34"/>
      <c r="V669" s="34"/>
      <c r="W669" s="34"/>
      <c r="X669" s="34"/>
      <c r="Y669" s="25">
        <f>E669+G669+I669+K669+M669+O669+Q669+S669+U669+W669</f>
        <v>8.74099</v>
      </c>
      <c r="Z669" s="478">
        <v>0</v>
      </c>
      <c r="AA669" s="26">
        <f>(Y669/D669)*100</f>
        <v>58.273266666666665</v>
      </c>
      <c r="AB669"/>
    </row>
    <row r="670" spans="1:28">
      <c r="B670" s="18" t="s">
        <v>10</v>
      </c>
      <c r="C670" s="19">
        <f>SUM(C669)</f>
        <v>15</v>
      </c>
      <c r="D670" s="19">
        <f>SUM(D669)</f>
        <v>15</v>
      </c>
      <c r="E670" s="20">
        <f>SUM(E669)</f>
        <v>8.74099</v>
      </c>
      <c r="F670" s="20">
        <f t="shared" ref="F670:Y670" si="216">SUM(F669)</f>
        <v>8.74099</v>
      </c>
      <c r="G670" s="20">
        <f t="shared" si="216"/>
        <v>0</v>
      </c>
      <c r="H670" s="20">
        <f t="shared" si="216"/>
        <v>8.74099</v>
      </c>
      <c r="I670" s="20">
        <f t="shared" si="216"/>
        <v>0</v>
      </c>
      <c r="J670" s="20">
        <f t="shared" si="216"/>
        <v>8.74099</v>
      </c>
      <c r="K670" s="20">
        <f t="shared" si="216"/>
        <v>0</v>
      </c>
      <c r="L670" s="20">
        <f t="shared" si="216"/>
        <v>8.74099</v>
      </c>
      <c r="M670" s="20">
        <f t="shared" si="216"/>
        <v>0</v>
      </c>
      <c r="N670" s="20">
        <f t="shared" si="216"/>
        <v>8.74099</v>
      </c>
      <c r="O670" s="20">
        <f t="shared" si="216"/>
        <v>0</v>
      </c>
      <c r="P670" s="20">
        <f t="shared" si="216"/>
        <v>8.74099</v>
      </c>
      <c r="Q670" s="20">
        <f t="shared" si="216"/>
        <v>0</v>
      </c>
      <c r="R670" s="20">
        <f t="shared" si="216"/>
        <v>8.74099</v>
      </c>
      <c r="S670" s="20">
        <f t="shared" si="216"/>
        <v>0</v>
      </c>
      <c r="T670" s="20">
        <f t="shared" si="216"/>
        <v>0</v>
      </c>
      <c r="U670" s="20">
        <f t="shared" si="216"/>
        <v>0</v>
      </c>
      <c r="V670" s="20">
        <f t="shared" si="216"/>
        <v>0</v>
      </c>
      <c r="W670" s="20">
        <f t="shared" si="216"/>
        <v>0</v>
      </c>
      <c r="X670" s="20"/>
      <c r="Y670" s="20">
        <f t="shared" si="216"/>
        <v>8.74099</v>
      </c>
      <c r="Z670" s="479">
        <v>0</v>
      </c>
      <c r="AA670" s="18">
        <f>(Y670/D670)*100</f>
        <v>58.273266666666665</v>
      </c>
      <c r="AB670"/>
    </row>
    <row r="671" spans="1:28">
      <c r="B671" s="41"/>
      <c r="C671" s="42"/>
      <c r="D671" s="42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448"/>
      <c r="AB671"/>
    </row>
    <row r="672" spans="1:28">
      <c r="B672" s="41"/>
      <c r="C672" s="42"/>
      <c r="D672" s="42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448"/>
      <c r="AB672"/>
    </row>
    <row r="673" spans="1:29">
      <c r="B673" s="41"/>
      <c r="C673" s="42"/>
      <c r="D673" s="42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448"/>
      <c r="AB673"/>
    </row>
    <row r="674" spans="1:29" s="72" customFormat="1" ht="12.75" customHeight="1">
      <c r="A674" s="81"/>
      <c r="B674" s="449"/>
      <c r="C674" s="514"/>
      <c r="D674" s="515"/>
      <c r="E674" s="450"/>
      <c r="F674" s="450"/>
      <c r="G674" s="450"/>
      <c r="H674" s="450"/>
      <c r="I674" s="450"/>
      <c r="J674" s="450"/>
      <c r="K674" s="450"/>
      <c r="L674" s="450"/>
      <c r="M674" s="450"/>
      <c r="N674" s="450"/>
      <c r="O674" s="450"/>
      <c r="P674" s="450"/>
      <c r="Q674" s="450"/>
      <c r="R674" s="450"/>
      <c r="S674" s="450"/>
      <c r="T674" s="450"/>
      <c r="U674" s="450"/>
      <c r="V674" s="450"/>
      <c r="W674" s="450"/>
      <c r="X674" s="450"/>
      <c r="Y674" s="450"/>
      <c r="Z674" s="450"/>
      <c r="AA674" s="451"/>
      <c r="AB674"/>
      <c r="AC674" s="500"/>
    </row>
    <row r="675" spans="1:29" s="72" customFormat="1">
      <c r="A675" s="81"/>
      <c r="B675" s="81"/>
      <c r="C675" s="152"/>
      <c r="D675" s="82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452"/>
      <c r="AB675"/>
      <c r="AC675" s="500"/>
    </row>
    <row r="676" spans="1:29" s="72" customFormat="1" ht="16.5">
      <c r="A676" s="81"/>
      <c r="B676" s="453" t="s">
        <v>544</v>
      </c>
      <c r="C676" s="662">
        <f>C8+C14+C36+C41+C51+C56+C75+C87+C100+C128+C161+C208+C278+C290+C309+C314+C348+C365+C384+C397+C405+C434+C453+C468+C488+C495+C500+C531+C538+C567+C642+C647+C652+C657+C665+C670+C553</f>
        <v>106579.31</v>
      </c>
      <c r="D676" s="66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452"/>
      <c r="AB676"/>
      <c r="AC676" s="500"/>
    </row>
    <row r="677" spans="1:29" s="72" customFormat="1" ht="12.75" customHeight="1">
      <c r="A677" s="81"/>
      <c r="B677" s="454"/>
      <c r="C677" s="516"/>
      <c r="D677" s="517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452"/>
      <c r="AB677"/>
      <c r="AC677" s="500"/>
    </row>
    <row r="678" spans="1:29" s="72" customFormat="1" ht="33">
      <c r="A678" s="2"/>
      <c r="B678" s="455" t="s">
        <v>522</v>
      </c>
      <c r="C678" s="662">
        <f>D8+D14+D36+D41+D51+D56+D75+D87+D100+D128+D161+D208+D278+D290+D309+D314+D348+D365+D384+D397+D405+D434+D453+D468+D488+D495+D500+D531+D538+D567+D642+D647+D652+D657+D665+D670+D553</f>
        <v>320548.2</v>
      </c>
      <c r="D678" s="66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452"/>
      <c r="AB678"/>
      <c r="AC678" s="500"/>
    </row>
    <row r="679" spans="1:29" s="72" customFormat="1" ht="12.75" customHeight="1">
      <c r="A679" s="81"/>
      <c r="B679" s="454"/>
      <c r="C679" s="518"/>
      <c r="D679" s="519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452"/>
      <c r="AB679"/>
      <c r="AC679" s="500"/>
    </row>
    <row r="680" spans="1:29" ht="15">
      <c r="B680" s="456"/>
      <c r="C680" s="456"/>
      <c r="D680" s="457"/>
      <c r="AB680"/>
    </row>
    <row r="681" spans="1:29" ht="16.5">
      <c r="B681" s="453" t="s">
        <v>545</v>
      </c>
      <c r="C681" s="660">
        <f>Y8+Y36+Y41+Y51+Y56+Y61+Y67+Y75+Y80+Y87+Y92+Y100+Y128+Y153+Y161+Y208+Y278+Y282+Y290+Y309+Y314+Y319+Y348+Y353+Y365+Y370+Y376+Y384+Y389+Y397+Y405+Y434+Y439+Y444+Y453+Y468+Y488+Y495+Y500+Y531+Y538+Y567+Y613+Y618+Y623+Y628+Y642+Y647+Y652+Y657+Y665+Y670+Y553</f>
        <v>234382.61207999996</v>
      </c>
      <c r="D681" s="661"/>
      <c r="E681" s="459"/>
      <c r="F681" s="459"/>
      <c r="G681" s="459"/>
      <c r="H681" s="459"/>
      <c r="I681" s="459"/>
      <c r="J681" s="459"/>
      <c r="K681" s="459"/>
      <c r="L681" s="459"/>
      <c r="M681" s="459"/>
      <c r="N681" s="459"/>
      <c r="O681" s="459"/>
      <c r="P681" s="459"/>
      <c r="Q681" s="459"/>
      <c r="R681" s="459"/>
      <c r="S681" s="459"/>
      <c r="T681" s="459"/>
      <c r="U681" s="459"/>
      <c r="V681" s="459"/>
      <c r="W681" s="459"/>
      <c r="X681" s="459"/>
      <c r="Y681" s="459"/>
      <c r="AB681"/>
    </row>
    <row r="682" spans="1:29" ht="16.5">
      <c r="B682" s="453"/>
      <c r="C682" s="432"/>
      <c r="AB682"/>
    </row>
    <row r="683" spans="1:29">
      <c r="B683" s="2"/>
      <c r="C683" s="574" t="s">
        <v>615</v>
      </c>
      <c r="D683" s="85">
        <f>234382.61208-C681</f>
        <v>0</v>
      </c>
    </row>
    <row r="684" spans="1:29">
      <c r="B684" s="2"/>
      <c r="C684" s="432"/>
    </row>
    <row r="685" spans="1:29">
      <c r="B685" s="149"/>
    </row>
    <row r="686" spans="1:29">
      <c r="D686" s="539"/>
    </row>
    <row r="690" spans="2:2">
      <c r="B690" s="149"/>
    </row>
    <row r="691" spans="2:2">
      <c r="B691" s="149"/>
    </row>
  </sheetData>
  <mergeCells count="3">
    <mergeCell ref="C681:D681"/>
    <mergeCell ref="C676:D676"/>
    <mergeCell ref="C678:D678"/>
  </mergeCells>
  <conditionalFormatting sqref="Z651:AA652 Z646:AA647 Z669:AA670 Z662:AA665 Z656:AA657 Z535:AA538 Z571:AA642 Z442:AA444 Z457:AA468 Z449:AA453 Z472:AA488 Z492:AA495 Z381:AA384 Z394:AA397 Z401:AA405 Z429:AA434 Z420:AA427 Z374:AA376 Z387:AA390 Z437:AA440 Z368:AA371 Z358:AA365 Z289:AA290 Z296:AA309 Z313:AA314 Z317:AA319 Z351:AA354 Z323:AA348 Z100:AA100 Z128:AA128 Z161:AA161 Z151:AA153 Z187:AA208 Z14:AA14 Z94:AA94 Z5:AA8 Z18:AA36 Z40:AA41 Z45:AA51 Z55:AA56 Z60:AA62 Z66:AA67 Z78:AA81 Z90:AA92 Z499:AA500 Z72:AA75 Z84:AA87 Z213:AA284 Z409:AA418 Z505:AA531 Z542:AA553 Z557:AA567">
    <cfRule type="cellIs" dxfId="13" priority="18" operator="greaterThan">
      <formula>100</formula>
    </cfRule>
  </conditionalFormatting>
  <conditionalFormatting sqref="AE571:AE626">
    <cfRule type="cellIs" dxfId="12" priority="5" operator="lessThan">
      <formula>0</formula>
    </cfRule>
    <cfRule type="cellIs" dxfId="11" priority="6" operator="greaterThan">
      <formula>0</formula>
    </cfRule>
  </conditionalFormatting>
  <hyperlinks>
    <hyperlink ref="AC284" location="'Kultura - kontrolní součty'!A1" display="kontolní součet"/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"/>
  <sheetViews>
    <sheetView zoomScale="90" zoomScaleNormal="90" workbookViewId="0">
      <selection activeCell="R23" sqref="R23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5" width="11.5703125" style="84" hidden="1" customWidth="1"/>
    <col min="16" max="16" width="11.5703125" style="84" customWidth="1"/>
    <col min="17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5" width="11.5703125" style="84" customWidth="1"/>
    <col min="26" max="26" width="8.42578125" style="458" customWidth="1"/>
    <col min="27" max="27" width="17" style="576" customWidth="1"/>
    <col min="28" max="28" width="2" customWidth="1"/>
    <col min="29" max="29" width="10.42578125" bestFit="1" customWidth="1"/>
    <col min="30" max="30" width="10.5703125" customWidth="1"/>
  </cols>
  <sheetData>
    <row r="1" spans="1:30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94"/>
    </row>
    <row r="2" spans="1:30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95"/>
    </row>
    <row r="3" spans="1:30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95"/>
    </row>
    <row r="4" spans="1:30" ht="43.5" customHeight="1">
      <c r="A4" s="75" t="s">
        <v>313</v>
      </c>
      <c r="B4" s="490" t="s">
        <v>562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/>
      <c r="AA4" s="495"/>
      <c r="AC4" s="496"/>
      <c r="AD4" s="497"/>
    </row>
    <row r="5" spans="1:30" ht="54.75" customHeight="1">
      <c r="A5" s="2" t="s">
        <v>564</v>
      </c>
      <c r="B5" s="491" t="s">
        <v>621</v>
      </c>
      <c r="C5" s="23">
        <v>8120</v>
      </c>
      <c r="D5" s="23">
        <v>12170</v>
      </c>
      <c r="E5" s="25">
        <v>51.728000000000002</v>
      </c>
      <c r="F5" s="34">
        <v>2020.61573</v>
      </c>
      <c r="G5" s="34">
        <f>F5-E5</f>
        <v>1968.8877299999999</v>
      </c>
      <c r="H5" s="34">
        <v>3816.4407200000001</v>
      </c>
      <c r="I5" s="34">
        <f>H5-F5</f>
        <v>1795.8249900000001</v>
      </c>
      <c r="J5" s="23">
        <v>3816.4407200000001</v>
      </c>
      <c r="K5" s="25">
        <f>J5-H5</f>
        <v>0</v>
      </c>
      <c r="L5" s="34">
        <v>6140.4066499999999</v>
      </c>
      <c r="M5" s="34">
        <f>L5-J5</f>
        <v>2323.9659299999998</v>
      </c>
      <c r="N5" s="34">
        <v>6155.9203500000003</v>
      </c>
      <c r="O5" s="34">
        <f>N5-L5</f>
        <v>15.513700000000426</v>
      </c>
      <c r="P5" s="34">
        <v>9961.8186000000005</v>
      </c>
      <c r="Q5" s="25">
        <f>P5-N5</f>
        <v>3805.8982500000002</v>
      </c>
      <c r="R5" s="34">
        <v>10879.88067</v>
      </c>
      <c r="S5" s="34">
        <f>R5-P5</f>
        <v>918.06206999999995</v>
      </c>
      <c r="T5" s="34"/>
      <c r="U5" s="34"/>
      <c r="V5" s="34"/>
      <c r="W5" s="34"/>
      <c r="X5" s="34"/>
      <c r="Y5" s="25">
        <f>E5+G5+I5+K5+M5+O5+Q5+S5+U5+W5</f>
        <v>10879.88067</v>
      </c>
      <c r="Z5"/>
      <c r="AA5" s="501" t="s">
        <v>565</v>
      </c>
      <c r="AC5" s="497"/>
      <c r="AD5" s="497"/>
    </row>
    <row r="6" spans="1:30" ht="14.25" customHeight="1">
      <c r="B6" s="41" t="s">
        <v>10</v>
      </c>
      <c r="C6" s="42">
        <f>C5</f>
        <v>8120</v>
      </c>
      <c r="D6" s="42">
        <f>D5</f>
        <v>12170</v>
      </c>
      <c r="E6" s="417">
        <f>SUM(E5)</f>
        <v>51.728000000000002</v>
      </c>
      <c r="F6" s="530">
        <f t="shared" ref="F6:W6" si="0">SUM(F5)</f>
        <v>2020.61573</v>
      </c>
      <c r="G6" s="417">
        <f t="shared" si="0"/>
        <v>1968.8877299999999</v>
      </c>
      <c r="H6" s="417">
        <f t="shared" si="0"/>
        <v>3816.4407200000001</v>
      </c>
      <c r="I6" s="417">
        <f t="shared" si="0"/>
        <v>1795.8249900000001</v>
      </c>
      <c r="J6" s="530">
        <f t="shared" si="0"/>
        <v>3816.4407200000001</v>
      </c>
      <c r="K6" s="530">
        <f t="shared" si="0"/>
        <v>0</v>
      </c>
      <c r="L6" s="530">
        <f t="shared" si="0"/>
        <v>6140.4066499999999</v>
      </c>
      <c r="M6" s="530">
        <f t="shared" si="0"/>
        <v>2323.9659299999998</v>
      </c>
      <c r="N6" s="530">
        <f t="shared" si="0"/>
        <v>6155.9203500000003</v>
      </c>
      <c r="O6" s="417">
        <f t="shared" si="0"/>
        <v>15.513700000000426</v>
      </c>
      <c r="P6" s="530">
        <f t="shared" si="0"/>
        <v>9961.8186000000005</v>
      </c>
      <c r="Q6" s="530">
        <f t="shared" si="0"/>
        <v>3805.8982500000002</v>
      </c>
      <c r="R6" s="530">
        <f t="shared" si="0"/>
        <v>10879.88067</v>
      </c>
      <c r="S6" s="530">
        <f t="shared" si="0"/>
        <v>918.06206999999995</v>
      </c>
      <c r="T6" s="417">
        <f t="shared" si="0"/>
        <v>0</v>
      </c>
      <c r="U6" s="417">
        <f t="shared" si="0"/>
        <v>0</v>
      </c>
      <c r="V6" s="417">
        <f t="shared" si="0"/>
        <v>0</v>
      </c>
      <c r="W6" s="417">
        <f t="shared" si="0"/>
        <v>0</v>
      </c>
      <c r="X6" s="417"/>
      <c r="Y6" s="530">
        <f>SUM(Y5)</f>
        <v>10879.88067</v>
      </c>
      <c r="Z6"/>
      <c r="AA6" s="499">
        <f>Y6</f>
        <v>10879.88067</v>
      </c>
      <c r="AC6" s="417"/>
      <c r="AD6" s="417"/>
    </row>
    <row r="7" spans="1:30" ht="17.25" customHeight="1"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/>
    </row>
    <row r="8" spans="1:30" ht="17.25" customHeight="1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458" customWidth="1"/>
    <col min="4" max="4" width="17" style="576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394"/>
    </row>
    <row r="2" spans="1:4" ht="17.25" customHeight="1">
      <c r="A2" s="580" t="s">
        <v>673</v>
      </c>
      <c r="B2" s="4"/>
      <c r="C2" s="395"/>
    </row>
    <row r="3" spans="1:4" ht="17.25" customHeight="1">
      <c r="B3" s="4"/>
      <c r="C3" s="395"/>
    </row>
    <row r="4" spans="1:4" ht="40.5" customHeight="1">
      <c r="B4" s="488" t="s">
        <v>678</v>
      </c>
      <c r="C4"/>
      <c r="D4" s="588" t="s">
        <v>707</v>
      </c>
    </row>
    <row r="5" spans="1:4">
      <c r="A5" s="75" t="s">
        <v>351</v>
      </c>
      <c r="B5" s="11" t="s">
        <v>352</v>
      </c>
      <c r="C5"/>
      <c r="D5" s="589"/>
    </row>
    <row r="6" spans="1:4" ht="38.25">
      <c r="B6" s="400" t="s">
        <v>353</v>
      </c>
      <c r="C6"/>
      <c r="D6" s="589">
        <v>100</v>
      </c>
    </row>
    <row r="7" spans="1:4" ht="25.5">
      <c r="B7" s="399" t="s">
        <v>354</v>
      </c>
      <c r="C7"/>
      <c r="D7" s="589">
        <v>400</v>
      </c>
    </row>
    <row r="8" spans="1:4">
      <c r="B8" s="18" t="s">
        <v>10</v>
      </c>
      <c r="C8"/>
      <c r="D8" s="590">
        <f>SUM(D5:D7)</f>
        <v>500</v>
      </c>
    </row>
    <row r="9" spans="1:4" ht="17.25" customHeight="1">
      <c r="B9" s="4"/>
      <c r="C9"/>
    </row>
    <row r="10" spans="1:4" ht="17.25" customHeight="1">
      <c r="B10" s="4"/>
      <c r="C10"/>
    </row>
    <row r="11" spans="1:4" ht="17.25" customHeight="1">
      <c r="B11" s="4"/>
      <c r="C11"/>
      <c r="D11" s="579"/>
    </row>
    <row r="12" spans="1:4" ht="17.25" customHeight="1">
      <c r="B12" s="4"/>
      <c r="C12"/>
      <c r="D12" s="579"/>
    </row>
    <row r="13" spans="1:4" ht="17.25" customHeight="1">
      <c r="B13" s="4"/>
      <c r="C13"/>
      <c r="D13" s="579"/>
    </row>
    <row r="14" spans="1:4" ht="17.25" customHeight="1">
      <c r="B14" s="4"/>
      <c r="C14"/>
      <c r="D14" s="579"/>
    </row>
    <row r="15" spans="1:4" ht="17.25" customHeight="1">
      <c r="B15" s="4"/>
      <c r="C15"/>
      <c r="D15" s="579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0.5" customHeight="1">
      <c r="A4" s="75" t="s">
        <v>313</v>
      </c>
      <c r="B4" s="488" t="s">
        <v>679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 ht="38.25">
      <c r="A5" s="75" t="s">
        <v>355</v>
      </c>
      <c r="B5" s="584" t="s">
        <v>356</v>
      </c>
      <c r="D5" s="23">
        <v>100</v>
      </c>
      <c r="E5" s="34">
        <v>65.545730000000006</v>
      </c>
      <c r="F5" s="26" t="e">
        <f>(E5/#REF!)*100</f>
        <v>#REF!</v>
      </c>
      <c r="G5" s="26">
        <f>(E5/D5)*100</f>
        <v>65.545730000000006</v>
      </c>
      <c r="H5"/>
      <c r="I5" s="589">
        <v>100</v>
      </c>
    </row>
    <row r="6" spans="1:9" ht="51" customHeight="1">
      <c r="B6" s="399" t="s">
        <v>357</v>
      </c>
      <c r="D6" s="23">
        <v>300</v>
      </c>
      <c r="E6" s="34">
        <v>186.21537000000001</v>
      </c>
      <c r="F6" s="26" t="e">
        <f>(E6/#REF!)*100</f>
        <v>#REF!</v>
      </c>
      <c r="G6" s="26">
        <f>(E6/D6)*100</f>
        <v>62.071790000000007</v>
      </c>
      <c r="H6"/>
      <c r="I6" s="589">
        <v>300</v>
      </c>
    </row>
    <row r="7" spans="1:9">
      <c r="B7" s="18" t="s">
        <v>10</v>
      </c>
      <c r="D7" s="39">
        <f>SUM(D5:D6)</f>
        <v>400</v>
      </c>
      <c r="E7" s="40">
        <f>SUM(E5:E6)</f>
        <v>251.7611</v>
      </c>
      <c r="F7" s="401" t="e">
        <f>(E7/#REF!)*100</f>
        <v>#REF!</v>
      </c>
      <c r="G7" s="401">
        <f>(E7/D7)*100</f>
        <v>62.940275</v>
      </c>
      <c r="H7"/>
      <c r="I7" s="590">
        <f>SUM(I5:I6)</f>
        <v>400</v>
      </c>
    </row>
    <row r="8" spans="1:9" ht="17.25" customHeight="1">
      <c r="B8" s="4"/>
      <c r="D8" s="5"/>
      <c r="E8" s="6"/>
      <c r="F8" s="6"/>
      <c r="G8" s="395"/>
      <c r="H8"/>
    </row>
    <row r="9" spans="1:9" ht="17.25" customHeight="1">
      <c r="B9" s="4"/>
      <c r="D9" s="5"/>
      <c r="E9" s="6"/>
      <c r="F9" s="6"/>
      <c r="G9" s="395"/>
      <c r="H9"/>
    </row>
    <row r="10" spans="1:9" ht="17.25" customHeight="1">
      <c r="B10" s="4"/>
      <c r="D10" s="5"/>
      <c r="E10" s="6"/>
      <c r="F10" s="6"/>
      <c r="G10" s="395"/>
      <c r="H10"/>
      <c r="I10" s="579"/>
    </row>
    <row r="11" spans="1:9" ht="17.25" customHeight="1">
      <c r="B11" s="4"/>
      <c r="D11" s="5"/>
      <c r="E11" s="6"/>
      <c r="F11" s="6"/>
      <c r="G11" s="395"/>
      <c r="H11"/>
      <c r="I11" s="579"/>
    </row>
    <row r="12" spans="1:9" ht="17.25" customHeight="1">
      <c r="B12" s="4"/>
      <c r="D12" s="5"/>
      <c r="E12" s="6"/>
      <c r="F12" s="6"/>
      <c r="G12" s="395"/>
      <c r="H12"/>
      <c r="I12" s="579"/>
    </row>
    <row r="13" spans="1:9" ht="17.25" customHeight="1">
      <c r="B13" s="4"/>
      <c r="D13" s="5"/>
      <c r="E13" s="6"/>
      <c r="F13" s="6"/>
      <c r="G13" s="395"/>
      <c r="H13"/>
      <c r="I13" s="579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85" customWidth="1"/>
    <col min="4" max="4" width="14.85546875" hidden="1" customWidth="1"/>
    <col min="5" max="5" width="14" style="85" hidden="1" customWidth="1"/>
    <col min="6" max="7" width="11.5703125" style="84" hidden="1" customWidth="1"/>
    <col min="8" max="8" width="13.28515625" style="458" hidden="1" customWidth="1"/>
    <col min="9" max="9" width="2.28515625" style="458" customWidth="1"/>
    <col min="10" max="10" width="17" style="576" customWidth="1"/>
    <col min="11" max="11" width="2" customWidth="1"/>
    <col min="12" max="12" width="10.42578125" bestFit="1" customWidth="1"/>
    <col min="13" max="13" width="10.5703125" customWidth="1"/>
  </cols>
  <sheetData>
    <row r="1" spans="1:14" ht="15.75">
      <c r="B1" s="1"/>
      <c r="C1" s="505"/>
      <c r="E1" s="387"/>
      <c r="F1" s="3"/>
      <c r="G1" s="3"/>
      <c r="H1" s="394"/>
      <c r="I1" s="394"/>
    </row>
    <row r="2" spans="1:14" ht="17.25" customHeight="1">
      <c r="A2" s="580" t="s">
        <v>673</v>
      </c>
      <c r="B2" s="4"/>
      <c r="C2" s="5"/>
      <c r="E2" s="5"/>
      <c r="F2" s="6"/>
      <c r="G2" s="6"/>
      <c r="H2" s="395"/>
      <c r="I2" s="395"/>
    </row>
    <row r="3" spans="1:14" ht="17.25" customHeight="1">
      <c r="B3" s="4"/>
      <c r="C3" s="5"/>
      <c r="E3" s="5"/>
      <c r="F3" s="6"/>
      <c r="G3" s="6"/>
      <c r="H3" s="395"/>
      <c r="I3" s="395"/>
    </row>
    <row r="4" spans="1:14" ht="39" customHeight="1">
      <c r="A4" s="75" t="s">
        <v>313</v>
      </c>
      <c r="B4" s="488" t="s">
        <v>680</v>
      </c>
      <c r="C4" s="507"/>
      <c r="E4" s="9" t="s">
        <v>315</v>
      </c>
      <c r="F4" s="10" t="s">
        <v>316</v>
      </c>
      <c r="G4" s="10" t="s">
        <v>309</v>
      </c>
      <c r="H4" s="396" t="s">
        <v>7</v>
      </c>
      <c r="I4"/>
      <c r="J4" s="588" t="s">
        <v>707</v>
      </c>
    </row>
    <row r="5" spans="1:14" s="576" customFormat="1" ht="25.5">
      <c r="A5" s="75" t="s">
        <v>359</v>
      </c>
      <c r="B5" s="399" t="s">
        <v>360</v>
      </c>
      <c r="C5" s="507"/>
      <c r="D5"/>
      <c r="E5" s="403"/>
      <c r="F5" s="404"/>
      <c r="G5" s="405"/>
      <c r="H5" s="405"/>
      <c r="I5"/>
      <c r="K5"/>
      <c r="L5"/>
      <c r="M5"/>
      <c r="N5"/>
    </row>
    <row r="6" spans="1:14" s="576" customFormat="1">
      <c r="A6" s="2"/>
      <c r="B6" s="43" t="s">
        <v>17</v>
      </c>
      <c r="C6" s="507"/>
      <c r="D6"/>
      <c r="E6" s="23"/>
      <c r="F6" s="34"/>
      <c r="G6" s="35"/>
      <c r="H6" s="35"/>
      <c r="I6"/>
      <c r="J6" s="589">
        <v>186.41</v>
      </c>
      <c r="K6"/>
      <c r="L6"/>
      <c r="M6"/>
      <c r="N6"/>
    </row>
    <row r="7" spans="1:14" s="576" customFormat="1">
      <c r="A7" s="2"/>
      <c r="B7" s="43" t="s">
        <v>18</v>
      </c>
      <c r="C7" s="507"/>
      <c r="D7"/>
      <c r="E7" s="13"/>
      <c r="F7" s="14"/>
      <c r="G7" s="15"/>
      <c r="H7" s="15"/>
      <c r="I7"/>
      <c r="J7" s="589">
        <v>1507</v>
      </c>
      <c r="K7"/>
      <c r="L7"/>
      <c r="M7"/>
      <c r="N7"/>
    </row>
    <row r="8" spans="1:14" s="576" customFormat="1">
      <c r="A8" s="2"/>
      <c r="B8" s="18" t="s">
        <v>10</v>
      </c>
      <c r="C8" s="507"/>
      <c r="D8"/>
      <c r="E8" s="19">
        <v>1670.64</v>
      </c>
      <c r="F8" s="20">
        <v>1520.6369999999999</v>
      </c>
      <c r="G8" s="18" t="e">
        <f>(F8/#REF!)*100</f>
        <v>#REF!</v>
      </c>
      <c r="H8" s="18">
        <f>(F8/E8)*100</f>
        <v>91.021225398649605</v>
      </c>
      <c r="I8"/>
      <c r="J8" s="590">
        <f>SUM(J6:J7)</f>
        <v>1693.41</v>
      </c>
      <c r="K8"/>
      <c r="L8"/>
      <c r="M8"/>
      <c r="N8"/>
    </row>
    <row r="9" spans="1:14" s="576" customFormat="1">
      <c r="A9" s="2"/>
      <c r="B9" s="41"/>
      <c r="C9" s="42"/>
      <c r="D9"/>
      <c r="E9" s="42"/>
      <c r="F9" s="406"/>
      <c r="G9" s="406"/>
      <c r="H9" s="407"/>
      <c r="I9"/>
      <c r="K9"/>
      <c r="L9"/>
      <c r="M9"/>
      <c r="N9"/>
    </row>
    <row r="10" spans="1:14" s="576" customFormat="1">
      <c r="A10" s="2"/>
      <c r="B10" s="408" t="s">
        <v>361</v>
      </c>
      <c r="C10" s="44"/>
      <c r="D10"/>
      <c r="E10" s="409"/>
      <c r="F10" s="406"/>
      <c r="G10" s="406"/>
      <c r="H10" s="407"/>
      <c r="I10"/>
      <c r="K10"/>
      <c r="L10"/>
      <c r="M10"/>
      <c r="N10"/>
    </row>
    <row r="11" spans="1:14" s="576" customFormat="1">
      <c r="A11" s="2"/>
      <c r="B11" s="43" t="s">
        <v>19</v>
      </c>
      <c r="C11" s="13">
        <v>400</v>
      </c>
      <c r="D11"/>
      <c r="E11" s="410"/>
      <c r="F11" s="45"/>
      <c r="G11" s="45"/>
      <c r="H11" s="407"/>
      <c r="I11"/>
      <c r="K11"/>
      <c r="L11"/>
      <c r="M11"/>
      <c r="N11"/>
    </row>
    <row r="12" spans="1:14" s="576" customFormat="1">
      <c r="A12" s="2"/>
      <c r="B12" s="43" t="s">
        <v>13</v>
      </c>
      <c r="C12" s="13">
        <v>150</v>
      </c>
      <c r="D12"/>
      <c r="E12" s="410"/>
      <c r="F12" s="45"/>
      <c r="G12" s="45"/>
      <c r="H12" s="407"/>
      <c r="I12"/>
      <c r="K12"/>
      <c r="L12"/>
      <c r="M12"/>
      <c r="N12"/>
    </row>
    <row r="13" spans="1:14" s="576" customFormat="1">
      <c r="A13" s="2"/>
      <c r="B13" s="43" t="s">
        <v>362</v>
      </c>
      <c r="C13" s="13">
        <v>60</v>
      </c>
      <c r="D13"/>
      <c r="E13" s="410"/>
      <c r="F13" s="45"/>
      <c r="G13" s="45"/>
      <c r="H13" s="407"/>
      <c r="I13"/>
      <c r="K13"/>
      <c r="L13"/>
      <c r="M13"/>
      <c r="N13"/>
    </row>
    <row r="14" spans="1:14" s="576" customFormat="1">
      <c r="A14" s="2"/>
      <c r="B14" s="43" t="s">
        <v>363</v>
      </c>
      <c r="C14" s="13">
        <v>100</v>
      </c>
      <c r="D14"/>
      <c r="E14" s="410"/>
      <c r="F14" s="45"/>
      <c r="G14" s="45"/>
      <c r="H14" s="407"/>
      <c r="I14"/>
      <c r="K14"/>
      <c r="L14"/>
      <c r="M14"/>
      <c r="N14"/>
    </row>
    <row r="15" spans="1:14" s="576" customFormat="1">
      <c r="A15" s="2"/>
      <c r="B15" s="43" t="s">
        <v>364</v>
      </c>
      <c r="C15" s="13">
        <v>22</v>
      </c>
      <c r="D15"/>
      <c r="E15" s="410"/>
      <c r="F15" s="45"/>
      <c r="G15" s="45"/>
      <c r="H15" s="407"/>
      <c r="I15"/>
      <c r="K15"/>
      <c r="L15"/>
      <c r="M15"/>
      <c r="N15"/>
    </row>
    <row r="16" spans="1:14" s="576" customFormat="1">
      <c r="A16" s="2"/>
      <c r="B16" s="43" t="s">
        <v>365</v>
      </c>
      <c r="C16" s="13">
        <v>30</v>
      </c>
      <c r="D16"/>
      <c r="E16" s="410"/>
      <c r="F16" s="45"/>
      <c r="G16" s="45"/>
      <c r="H16" s="407"/>
      <c r="I16"/>
      <c r="K16"/>
      <c r="L16"/>
      <c r="M16"/>
      <c r="N16"/>
    </row>
    <row r="17" spans="1:14" s="576" customFormat="1">
      <c r="A17" s="2"/>
      <c r="B17" s="43" t="s">
        <v>366</v>
      </c>
      <c r="C17" s="13">
        <v>10</v>
      </c>
      <c r="D17"/>
      <c r="E17" s="410"/>
      <c r="F17" s="45"/>
      <c r="G17" s="45"/>
      <c r="H17" s="407"/>
      <c r="I17"/>
      <c r="K17"/>
      <c r="L17"/>
      <c r="M17"/>
      <c r="N17"/>
    </row>
    <row r="18" spans="1:14" s="576" customFormat="1">
      <c r="A18" s="2"/>
      <c r="B18" s="43" t="s">
        <v>367</v>
      </c>
      <c r="C18" s="13">
        <v>40</v>
      </c>
      <c r="D18"/>
      <c r="E18" s="410"/>
      <c r="F18" s="45"/>
      <c r="G18" s="45"/>
      <c r="H18" s="407"/>
      <c r="I18"/>
      <c r="K18"/>
      <c r="L18"/>
      <c r="M18"/>
      <c r="N18"/>
    </row>
    <row r="19" spans="1:14" s="576" customFormat="1">
      <c r="A19" s="2"/>
      <c r="B19" s="43" t="s">
        <v>368</v>
      </c>
      <c r="C19" s="13">
        <v>30</v>
      </c>
      <c r="D19"/>
      <c r="E19" s="410"/>
      <c r="F19" s="45"/>
      <c r="G19" s="45"/>
      <c r="H19" s="407"/>
      <c r="I19"/>
      <c r="K19"/>
      <c r="L19"/>
      <c r="M19"/>
      <c r="N19"/>
    </row>
    <row r="20" spans="1:14" s="576" customFormat="1">
      <c r="A20" s="2"/>
      <c r="B20" s="43" t="s">
        <v>369</v>
      </c>
      <c r="C20" s="13">
        <v>100</v>
      </c>
      <c r="D20"/>
      <c r="E20" s="410"/>
      <c r="F20" s="45"/>
      <c r="G20" s="45"/>
      <c r="H20" s="407"/>
      <c r="I20"/>
      <c r="K20"/>
      <c r="L20"/>
      <c r="M20"/>
      <c r="N20"/>
    </row>
    <row r="21" spans="1:14" s="576" customFormat="1">
      <c r="A21" s="2"/>
      <c r="B21" s="43" t="s">
        <v>370</v>
      </c>
      <c r="C21" s="13">
        <v>150</v>
      </c>
      <c r="D21"/>
      <c r="E21" s="410"/>
      <c r="F21" s="45"/>
      <c r="G21" s="45"/>
      <c r="H21" s="407"/>
      <c r="I21"/>
      <c r="K21"/>
      <c r="L21"/>
      <c r="M21"/>
      <c r="N21"/>
    </row>
    <row r="22" spans="1:14" s="576" customFormat="1">
      <c r="A22" s="2"/>
      <c r="B22" s="43" t="s">
        <v>371</v>
      </c>
      <c r="C22" s="13">
        <v>100</v>
      </c>
      <c r="D22"/>
      <c r="E22" s="410"/>
      <c r="F22" s="45"/>
      <c r="G22" s="45"/>
      <c r="H22" s="407"/>
      <c r="I22"/>
      <c r="K22"/>
      <c r="L22"/>
      <c r="M22"/>
      <c r="N22"/>
    </row>
    <row r="23" spans="1:14" s="576" customFormat="1">
      <c r="A23" s="2"/>
      <c r="B23" s="43" t="s">
        <v>372</v>
      </c>
      <c r="C23" s="13">
        <v>140</v>
      </c>
      <c r="D23"/>
      <c r="E23" s="410"/>
      <c r="F23" s="45"/>
      <c r="G23" s="45"/>
      <c r="H23" s="407"/>
      <c r="I23"/>
      <c r="K23"/>
      <c r="L23"/>
      <c r="M23"/>
      <c r="N23"/>
    </row>
    <row r="24" spans="1:14" s="576" customFormat="1">
      <c r="A24" s="2"/>
      <c r="B24" s="43" t="s">
        <v>373</v>
      </c>
      <c r="C24" s="13">
        <v>30</v>
      </c>
      <c r="D24"/>
      <c r="E24" s="410"/>
      <c r="F24" s="45"/>
      <c r="G24" s="45"/>
      <c r="H24" s="407"/>
      <c r="I24"/>
      <c r="K24"/>
      <c r="L24"/>
      <c r="M24"/>
      <c r="N24"/>
    </row>
    <row r="25" spans="1:14" s="576" customFormat="1">
      <c r="A25" s="2"/>
      <c r="B25" s="43" t="s">
        <v>374</v>
      </c>
      <c r="C25" s="13">
        <v>15</v>
      </c>
      <c r="D25"/>
      <c r="E25" s="410"/>
      <c r="F25" s="45"/>
      <c r="G25" s="45"/>
      <c r="H25" s="407"/>
      <c r="I25"/>
      <c r="K25"/>
      <c r="L25"/>
      <c r="M25"/>
      <c r="N25"/>
    </row>
    <row r="26" spans="1:14" s="576" customFormat="1">
      <c r="A26" s="2"/>
      <c r="B26" s="43" t="s">
        <v>375</v>
      </c>
      <c r="C26" s="13">
        <v>100</v>
      </c>
      <c r="D26"/>
      <c r="E26" s="410"/>
      <c r="F26" s="45"/>
      <c r="G26" s="45"/>
      <c r="H26" s="407"/>
      <c r="I26"/>
      <c r="K26"/>
      <c r="L26"/>
      <c r="M26"/>
      <c r="N26"/>
    </row>
    <row r="27" spans="1:14" s="576" customFormat="1">
      <c r="A27" s="2"/>
      <c r="B27" s="43" t="s">
        <v>376</v>
      </c>
      <c r="C27" s="13">
        <v>30</v>
      </c>
      <c r="D27"/>
      <c r="E27" s="410"/>
      <c r="F27" s="45"/>
      <c r="G27" s="45"/>
      <c r="H27" s="407"/>
      <c r="I27"/>
      <c r="K27"/>
      <c r="L27"/>
      <c r="M27"/>
      <c r="N27"/>
    </row>
    <row r="28" spans="1:14" s="576" customFormat="1">
      <c r="A28" s="2"/>
      <c r="B28" s="43" t="s">
        <v>20</v>
      </c>
      <c r="C28" s="411">
        <f>SUM(C11:C27)</f>
        <v>1507</v>
      </c>
      <c r="D28"/>
      <c r="E28" s="46"/>
      <c r="F28" s="45"/>
      <c r="G28" s="45"/>
      <c r="H28" s="407"/>
      <c r="I28"/>
      <c r="K28"/>
      <c r="L28"/>
      <c r="M28"/>
      <c r="N28"/>
    </row>
    <row r="29" spans="1:14" s="576" customFormat="1" ht="17.25" customHeight="1">
      <c r="A29" s="2"/>
      <c r="B29" s="4"/>
      <c r="C29" s="5"/>
      <c r="D29"/>
      <c r="E29" s="5"/>
      <c r="F29" s="6"/>
      <c r="G29" s="6"/>
      <c r="H29" s="395"/>
      <c r="I29"/>
      <c r="K29"/>
      <c r="L29"/>
      <c r="M29"/>
      <c r="N29"/>
    </row>
    <row r="30" spans="1:14" s="576" customFormat="1" ht="17.25" customHeight="1">
      <c r="A30" s="2"/>
      <c r="B30" s="4"/>
      <c r="C30" s="5"/>
      <c r="D30"/>
      <c r="E30" s="5"/>
      <c r="F30" s="6"/>
      <c r="G30" s="6"/>
      <c r="H30" s="395"/>
      <c r="I30"/>
      <c r="K30"/>
      <c r="L30"/>
      <c r="M30"/>
      <c r="N3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85" customWidth="1"/>
    <col min="4" max="4" width="14.85546875" hidden="1" customWidth="1"/>
    <col min="5" max="5" width="14" style="85" hidden="1" customWidth="1"/>
    <col min="6" max="7" width="11.5703125" style="84" hidden="1" customWidth="1"/>
    <col min="8" max="8" width="13.28515625" style="458" hidden="1" customWidth="1"/>
    <col min="9" max="9" width="2.28515625" style="458" customWidth="1"/>
    <col min="10" max="10" width="17" style="576" customWidth="1"/>
    <col min="11" max="11" width="2" customWidth="1"/>
    <col min="12" max="12" width="10.42578125" bestFit="1" customWidth="1"/>
    <col min="13" max="13" width="10.5703125" customWidth="1"/>
  </cols>
  <sheetData>
    <row r="1" spans="1:14" ht="15.75">
      <c r="B1" s="1"/>
      <c r="C1" s="505"/>
      <c r="E1" s="387"/>
      <c r="F1" s="3"/>
      <c r="G1" s="3"/>
      <c r="H1" s="394"/>
      <c r="I1" s="394"/>
    </row>
    <row r="2" spans="1:14" ht="17.25" customHeight="1">
      <c r="A2" s="580" t="s">
        <v>673</v>
      </c>
      <c r="B2" s="4"/>
      <c r="C2" s="5"/>
      <c r="E2" s="5"/>
      <c r="F2" s="6"/>
      <c r="G2" s="6"/>
      <c r="H2" s="395"/>
      <c r="I2" s="395"/>
    </row>
    <row r="3" spans="1:14" ht="17.25" customHeight="1">
      <c r="B3" s="4"/>
      <c r="C3" s="5"/>
      <c r="E3" s="5"/>
      <c r="F3" s="6"/>
      <c r="G3" s="6"/>
      <c r="H3" s="395"/>
      <c r="I3" s="395"/>
    </row>
    <row r="4" spans="1:14" s="576" customFormat="1" ht="38.25" customHeight="1">
      <c r="A4" s="75" t="s">
        <v>313</v>
      </c>
      <c r="B4" s="488" t="s">
        <v>681</v>
      </c>
      <c r="C4" s="507"/>
      <c r="D4"/>
      <c r="E4" s="9" t="s">
        <v>315</v>
      </c>
      <c r="F4" s="10" t="s">
        <v>316</v>
      </c>
      <c r="G4" s="10" t="s">
        <v>309</v>
      </c>
      <c r="H4" s="396" t="s">
        <v>7</v>
      </c>
      <c r="I4"/>
      <c r="J4" s="588" t="s">
        <v>707</v>
      </c>
      <c r="K4"/>
      <c r="L4"/>
      <c r="M4"/>
      <c r="N4"/>
    </row>
    <row r="5" spans="1:14" s="576" customFormat="1" ht="25.5">
      <c r="A5" s="75" t="s">
        <v>378</v>
      </c>
      <c r="B5" s="399" t="s">
        <v>360</v>
      </c>
      <c r="C5" s="5"/>
      <c r="D5"/>
      <c r="E5" s="403"/>
      <c r="F5" s="404"/>
      <c r="G5" s="405"/>
      <c r="H5" s="405"/>
      <c r="I5"/>
      <c r="J5" s="579"/>
      <c r="K5"/>
      <c r="L5"/>
      <c r="M5"/>
      <c r="N5"/>
    </row>
    <row r="6" spans="1:14" s="576" customFormat="1">
      <c r="A6" s="2"/>
      <c r="B6" s="47" t="s">
        <v>17</v>
      </c>
      <c r="C6" s="5"/>
      <c r="D6"/>
      <c r="E6" s="13"/>
      <c r="F6" s="14"/>
      <c r="G6" s="15"/>
      <c r="H6" s="15"/>
      <c r="I6"/>
      <c r="J6" s="589">
        <v>300</v>
      </c>
      <c r="K6"/>
      <c r="L6"/>
      <c r="M6"/>
      <c r="N6"/>
    </row>
    <row r="7" spans="1:14" s="576" customFormat="1" ht="12.75" customHeight="1">
      <c r="A7" s="2"/>
      <c r="B7" s="47" t="s">
        <v>18</v>
      </c>
      <c r="C7" s="5"/>
      <c r="D7"/>
      <c r="E7" s="23"/>
      <c r="F7" s="34"/>
      <c r="G7" s="35"/>
      <c r="H7" s="35"/>
      <c r="I7"/>
      <c r="J7" s="589">
        <v>3800</v>
      </c>
      <c r="K7"/>
      <c r="L7"/>
      <c r="M7"/>
      <c r="N7"/>
    </row>
    <row r="8" spans="1:14" s="576" customFormat="1">
      <c r="A8" s="2"/>
      <c r="B8" s="47" t="s">
        <v>734</v>
      </c>
      <c r="C8" s="5"/>
      <c r="D8"/>
      <c r="E8" s="13"/>
      <c r="F8" s="14"/>
      <c r="G8" s="15"/>
      <c r="H8" s="15"/>
      <c r="I8"/>
      <c r="J8" s="593">
        <v>20</v>
      </c>
      <c r="K8"/>
      <c r="L8"/>
      <c r="M8"/>
      <c r="N8"/>
    </row>
    <row r="9" spans="1:14" s="576" customFormat="1">
      <c r="A9" s="2"/>
      <c r="B9" s="18" t="s">
        <v>10</v>
      </c>
      <c r="C9" s="5"/>
      <c r="D9"/>
      <c r="E9" s="19">
        <v>4000</v>
      </c>
      <c r="F9" s="20">
        <v>3186</v>
      </c>
      <c r="G9" s="18" t="e">
        <f>(F9/#REF!)*100</f>
        <v>#REF!</v>
      </c>
      <c r="H9" s="18">
        <f>(F9/E9)*100</f>
        <v>79.650000000000006</v>
      </c>
      <c r="I9"/>
      <c r="J9" s="590">
        <f>SUM(J6:J8)</f>
        <v>4120</v>
      </c>
      <c r="K9"/>
      <c r="L9"/>
      <c r="M9"/>
      <c r="N9"/>
    </row>
    <row r="10" spans="1:14" s="576" customFormat="1">
      <c r="A10" s="2"/>
      <c r="B10" s="41"/>
      <c r="C10" s="42"/>
      <c r="D10"/>
      <c r="E10" s="42"/>
      <c r="F10" s="45"/>
      <c r="G10" s="45"/>
      <c r="H10" s="407"/>
      <c r="I10"/>
      <c r="K10"/>
      <c r="L10"/>
      <c r="M10"/>
      <c r="N10"/>
    </row>
    <row r="11" spans="1:14" s="576" customFormat="1">
      <c r="A11" s="2"/>
      <c r="B11" s="412" t="s">
        <v>380</v>
      </c>
      <c r="C11" s="13"/>
      <c r="D11"/>
      <c r="E11" s="410"/>
      <c r="F11" s="45"/>
      <c r="G11" s="45"/>
      <c r="H11" s="407"/>
      <c r="I11"/>
      <c r="K11"/>
      <c r="L11"/>
      <c r="M11"/>
      <c r="N11"/>
    </row>
    <row r="12" spans="1:14" s="576" customFormat="1">
      <c r="A12" s="2"/>
      <c r="B12" s="47" t="s">
        <v>13</v>
      </c>
      <c r="C12" s="13">
        <v>650</v>
      </c>
      <c r="D12"/>
      <c r="E12" s="410"/>
      <c r="F12" s="45"/>
      <c r="G12" s="45"/>
      <c r="H12" s="407"/>
      <c r="I12"/>
      <c r="K12"/>
      <c r="L12"/>
      <c r="M12"/>
      <c r="N12"/>
    </row>
    <row r="13" spans="1:14" s="576" customFormat="1">
      <c r="A13" s="2"/>
      <c r="B13" s="47" t="s">
        <v>19</v>
      </c>
      <c r="C13" s="13">
        <v>1550</v>
      </c>
      <c r="D13"/>
      <c r="E13" s="410"/>
      <c r="F13" s="45"/>
      <c r="G13" s="45"/>
      <c r="H13" s="407"/>
      <c r="I13"/>
      <c r="K13"/>
      <c r="L13"/>
      <c r="M13"/>
      <c r="N13"/>
    </row>
    <row r="14" spans="1:14" s="576" customFormat="1">
      <c r="A14" s="2"/>
      <c r="B14" s="47" t="s">
        <v>362</v>
      </c>
      <c r="C14" s="13">
        <v>180</v>
      </c>
      <c r="D14"/>
      <c r="E14" s="410"/>
      <c r="F14" s="45"/>
      <c r="G14" s="45"/>
      <c r="H14" s="407"/>
      <c r="I14"/>
      <c r="K14"/>
      <c r="L14"/>
      <c r="M14"/>
      <c r="N14"/>
    </row>
    <row r="15" spans="1:14" s="576" customFormat="1">
      <c r="A15" s="2"/>
      <c r="B15" s="47" t="s">
        <v>381</v>
      </c>
      <c r="C15" s="13">
        <v>60</v>
      </c>
      <c r="D15"/>
      <c r="E15" s="410"/>
      <c r="F15" s="45"/>
      <c r="G15" s="45"/>
      <c r="H15" s="407"/>
      <c r="I15"/>
      <c r="K15"/>
      <c r="L15"/>
      <c r="M15"/>
      <c r="N15"/>
    </row>
    <row r="16" spans="1:14" s="576" customFormat="1">
      <c r="A16" s="2"/>
      <c r="B16" s="47" t="s">
        <v>382</v>
      </c>
      <c r="C16" s="13">
        <v>48</v>
      </c>
      <c r="D16"/>
      <c r="E16" s="410"/>
      <c r="F16" s="45"/>
      <c r="G16" s="45"/>
      <c r="H16" s="407"/>
      <c r="I16"/>
      <c r="K16"/>
      <c r="L16"/>
      <c r="M16"/>
      <c r="N16"/>
    </row>
    <row r="17" spans="1:14" s="576" customFormat="1">
      <c r="A17" s="2"/>
      <c r="B17" s="47" t="s">
        <v>368</v>
      </c>
      <c r="C17" s="13">
        <v>70</v>
      </c>
      <c r="D17"/>
      <c r="E17" s="410"/>
      <c r="F17" s="45"/>
      <c r="G17" s="45"/>
      <c r="H17" s="407"/>
      <c r="I17"/>
      <c r="K17"/>
      <c r="L17"/>
      <c r="M17"/>
      <c r="N17"/>
    </row>
    <row r="18" spans="1:14" s="576" customFormat="1">
      <c r="A18" s="2"/>
      <c r="B18" s="47" t="s">
        <v>383</v>
      </c>
      <c r="C18" s="31">
        <v>108</v>
      </c>
      <c r="D18"/>
      <c r="E18" s="38"/>
      <c r="F18" s="6"/>
      <c r="G18" s="6"/>
      <c r="H18" s="395"/>
      <c r="I18"/>
      <c r="K18"/>
      <c r="L18"/>
      <c r="M18"/>
      <c r="N18"/>
    </row>
    <row r="19" spans="1:14" s="576" customFormat="1">
      <c r="A19" s="2"/>
      <c r="B19" s="47" t="s">
        <v>384</v>
      </c>
      <c r="C19" s="31">
        <v>94</v>
      </c>
      <c r="D19"/>
      <c r="E19" s="38"/>
      <c r="F19" s="6"/>
      <c r="G19" s="6"/>
      <c r="H19" s="395"/>
      <c r="I19"/>
      <c r="K19"/>
      <c r="L19"/>
      <c r="M19"/>
      <c r="N19"/>
    </row>
    <row r="20" spans="1:14" s="576" customFormat="1">
      <c r="A20" s="2"/>
      <c r="B20" s="47" t="s">
        <v>385</v>
      </c>
      <c r="C20" s="31">
        <v>110</v>
      </c>
      <c r="D20"/>
      <c r="E20" s="38"/>
      <c r="F20" s="6"/>
      <c r="G20" s="6"/>
      <c r="H20" s="395"/>
      <c r="I20"/>
      <c r="K20"/>
      <c r="L20"/>
      <c r="M20"/>
      <c r="N20"/>
    </row>
    <row r="21" spans="1:14" s="576" customFormat="1">
      <c r="A21" s="2"/>
      <c r="B21" s="47" t="s">
        <v>386</v>
      </c>
      <c r="C21" s="31">
        <v>71</v>
      </c>
      <c r="D21"/>
      <c r="E21" s="38"/>
      <c r="F21" s="6"/>
      <c r="G21" s="6"/>
      <c r="H21" s="395"/>
      <c r="I21"/>
      <c r="K21"/>
      <c r="L21"/>
      <c r="M21"/>
      <c r="N21"/>
    </row>
    <row r="22" spans="1:14" s="576" customFormat="1">
      <c r="A22" s="2"/>
      <c r="B22" s="47" t="s">
        <v>387</v>
      </c>
      <c r="C22" s="31">
        <v>35</v>
      </c>
      <c r="D22"/>
      <c r="E22" s="38"/>
      <c r="F22" s="6"/>
      <c r="G22" s="6"/>
      <c r="H22" s="395"/>
      <c r="I22"/>
      <c r="K22"/>
      <c r="L22"/>
      <c r="M22"/>
      <c r="N22"/>
    </row>
    <row r="23" spans="1:14" s="576" customFormat="1">
      <c r="A23" s="2"/>
      <c r="B23" s="47" t="s">
        <v>388</v>
      </c>
      <c r="C23" s="31">
        <v>190</v>
      </c>
      <c r="D23"/>
      <c r="E23" s="38"/>
      <c r="F23" s="6"/>
      <c r="G23" s="6"/>
      <c r="H23" s="395"/>
      <c r="I23"/>
      <c r="K23"/>
      <c r="L23"/>
      <c r="M23"/>
      <c r="N23"/>
    </row>
    <row r="24" spans="1:14" s="576" customFormat="1">
      <c r="A24" s="2"/>
      <c r="B24" s="47" t="s">
        <v>389</v>
      </c>
      <c r="C24" s="31">
        <v>150</v>
      </c>
      <c r="D24"/>
      <c r="E24" s="38"/>
      <c r="F24" s="6"/>
      <c r="G24" s="6"/>
      <c r="H24" s="395"/>
      <c r="I24"/>
      <c r="K24"/>
      <c r="L24"/>
      <c r="M24"/>
      <c r="N24"/>
    </row>
    <row r="25" spans="1:14" s="576" customFormat="1">
      <c r="A25" s="2"/>
      <c r="B25" s="470" t="s">
        <v>547</v>
      </c>
      <c r="C25" s="31">
        <v>160</v>
      </c>
      <c r="D25"/>
      <c r="E25" s="38"/>
      <c r="F25" s="6"/>
      <c r="G25" s="6"/>
      <c r="H25" s="395"/>
      <c r="I25"/>
      <c r="K25"/>
      <c r="L25"/>
      <c r="M25"/>
      <c r="N25"/>
    </row>
    <row r="26" spans="1:14">
      <c r="B26" s="470" t="s">
        <v>548</v>
      </c>
      <c r="C26" s="31">
        <v>140</v>
      </c>
      <c r="E26" s="38"/>
      <c r="F26" s="6"/>
      <c r="G26" s="6"/>
      <c r="H26" s="395"/>
      <c r="I26"/>
    </row>
    <row r="27" spans="1:14">
      <c r="B27" s="47" t="s">
        <v>390</v>
      </c>
      <c r="C27" s="31">
        <v>88</v>
      </c>
      <c r="E27" s="38"/>
      <c r="F27" s="6"/>
      <c r="G27" s="6"/>
      <c r="H27" s="395"/>
      <c r="I27"/>
    </row>
    <row r="28" spans="1:14">
      <c r="B28" s="470" t="s">
        <v>549</v>
      </c>
      <c r="C28" s="31">
        <v>96</v>
      </c>
      <c r="E28" s="38"/>
      <c r="F28" s="6"/>
      <c r="G28" s="6"/>
      <c r="H28" s="395"/>
      <c r="I28"/>
    </row>
    <row r="29" spans="1:14">
      <c r="B29" s="47" t="s">
        <v>20</v>
      </c>
      <c r="C29" s="411">
        <f>SUM(C12:C28)</f>
        <v>3800</v>
      </c>
      <c r="E29" s="46"/>
      <c r="F29" s="6"/>
      <c r="G29" s="6"/>
      <c r="H29" s="395"/>
      <c r="I29"/>
    </row>
    <row r="30" spans="1:14" ht="17.25" customHeight="1">
      <c r="B30" s="4"/>
      <c r="C30" s="5"/>
      <c r="E30" s="5"/>
      <c r="F30" s="6"/>
      <c r="G30" s="6"/>
      <c r="H30" s="395"/>
      <c r="I30"/>
    </row>
    <row r="31" spans="1:14" ht="17.25" customHeight="1">
      <c r="B31" s="4"/>
      <c r="C31" s="5"/>
      <c r="E31" s="5"/>
      <c r="F31" s="6"/>
      <c r="G31" s="6"/>
      <c r="H31" s="395"/>
      <c r="I31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85" customWidth="1"/>
    <col min="4" max="4" width="14.85546875" hidden="1" customWidth="1"/>
    <col min="5" max="5" width="14" style="85" hidden="1" customWidth="1"/>
    <col min="6" max="7" width="11.5703125" style="84" hidden="1" customWidth="1"/>
    <col min="8" max="8" width="13.28515625" style="458" hidden="1" customWidth="1"/>
    <col min="9" max="9" width="2.28515625" style="458" customWidth="1"/>
    <col min="10" max="10" width="17" style="576" customWidth="1"/>
    <col min="11" max="11" width="2" customWidth="1"/>
    <col min="12" max="12" width="10.42578125" bestFit="1" customWidth="1"/>
    <col min="13" max="13" width="10.5703125" customWidth="1"/>
  </cols>
  <sheetData>
    <row r="1" spans="1:14" ht="15.75">
      <c r="B1" s="1"/>
      <c r="C1" s="505"/>
      <c r="E1" s="387"/>
      <c r="F1" s="3"/>
      <c r="G1" s="3"/>
      <c r="H1" s="394"/>
      <c r="I1" s="394"/>
    </row>
    <row r="2" spans="1:14" ht="17.25" customHeight="1">
      <c r="A2" s="580" t="s">
        <v>673</v>
      </c>
      <c r="B2" s="4"/>
      <c r="C2" s="5"/>
      <c r="E2" s="5"/>
      <c r="F2" s="6"/>
      <c r="G2" s="6"/>
      <c r="H2" s="395"/>
      <c r="I2" s="395"/>
    </row>
    <row r="3" spans="1:14" ht="17.25" customHeight="1">
      <c r="B3" s="4"/>
      <c r="C3" s="5"/>
      <c r="E3" s="5"/>
      <c r="F3" s="6"/>
      <c r="G3" s="6"/>
      <c r="H3" s="395"/>
      <c r="I3" s="395"/>
    </row>
    <row r="4" spans="1:14" ht="42" customHeight="1">
      <c r="A4" s="75" t="s">
        <v>313</v>
      </c>
      <c r="B4" s="488" t="s">
        <v>682</v>
      </c>
      <c r="C4" s="507"/>
      <c r="E4" s="9" t="s">
        <v>315</v>
      </c>
      <c r="F4" s="10" t="s">
        <v>316</v>
      </c>
      <c r="G4" s="10" t="s">
        <v>309</v>
      </c>
      <c r="H4" s="396" t="s">
        <v>7</v>
      </c>
      <c r="I4"/>
      <c r="J4" s="588" t="s">
        <v>707</v>
      </c>
    </row>
    <row r="5" spans="1:14" ht="25.5">
      <c r="A5" s="75" t="s">
        <v>392</v>
      </c>
      <c r="B5" s="399" t="s">
        <v>360</v>
      </c>
      <c r="C5" s="5"/>
      <c r="E5" s="403"/>
      <c r="F5" s="404"/>
      <c r="G5" s="405"/>
      <c r="H5" s="405"/>
      <c r="I5"/>
      <c r="J5" s="579"/>
    </row>
    <row r="6" spans="1:14">
      <c r="B6" s="47" t="s">
        <v>17</v>
      </c>
      <c r="C6" s="5"/>
      <c r="E6" s="23"/>
      <c r="F6" s="34"/>
      <c r="G6" s="35"/>
      <c r="H6" s="35"/>
      <c r="I6"/>
      <c r="J6" s="589">
        <v>21</v>
      </c>
    </row>
    <row r="7" spans="1:14">
      <c r="B7" s="47" t="s">
        <v>18</v>
      </c>
      <c r="C7" s="5"/>
      <c r="E7" s="13"/>
      <c r="F7" s="14"/>
      <c r="G7" s="15"/>
      <c r="H7" s="15"/>
      <c r="I7"/>
      <c r="J7" s="589">
        <v>168</v>
      </c>
    </row>
    <row r="8" spans="1:14" s="576" customFormat="1">
      <c r="A8" s="2"/>
      <c r="B8" s="18" t="s">
        <v>10</v>
      </c>
      <c r="C8" s="5"/>
      <c r="D8"/>
      <c r="E8" s="19">
        <v>269</v>
      </c>
      <c r="F8" s="20">
        <v>259</v>
      </c>
      <c r="G8" s="18" t="e">
        <f>(F8/#REF!)*100</f>
        <v>#REF!</v>
      </c>
      <c r="H8" s="18">
        <f>(F8/E8)*100</f>
        <v>96.282527881040892</v>
      </c>
      <c r="I8"/>
      <c r="J8" s="590">
        <f>SUM(J6:J7)</f>
        <v>189</v>
      </c>
      <c r="K8"/>
      <c r="L8"/>
      <c r="M8"/>
      <c r="N8"/>
    </row>
    <row r="9" spans="1:14" s="576" customFormat="1">
      <c r="A9" s="2"/>
      <c r="B9" s="41"/>
      <c r="C9" s="42"/>
      <c r="D9"/>
      <c r="E9" s="42"/>
      <c r="F9" s="6"/>
      <c r="G9" s="6"/>
      <c r="H9" s="395"/>
      <c r="I9"/>
      <c r="K9"/>
      <c r="L9"/>
      <c r="M9"/>
      <c r="N9"/>
    </row>
    <row r="10" spans="1:14" s="576" customFormat="1">
      <c r="A10" s="2"/>
      <c r="B10" s="412" t="s">
        <v>361</v>
      </c>
      <c r="C10" s="31"/>
      <c r="D10"/>
      <c r="E10" s="38"/>
      <c r="F10" s="6"/>
      <c r="G10" s="6"/>
      <c r="H10" s="395"/>
      <c r="I10"/>
      <c r="K10"/>
      <c r="L10"/>
      <c r="M10"/>
      <c r="N10"/>
    </row>
    <row r="11" spans="1:14" s="576" customFormat="1">
      <c r="A11" s="2"/>
      <c r="B11" s="47" t="s">
        <v>393</v>
      </c>
      <c r="C11" s="31">
        <v>300</v>
      </c>
      <c r="D11"/>
      <c r="E11" s="38"/>
      <c r="F11" s="6"/>
      <c r="G11" s="6"/>
      <c r="H11" s="395"/>
      <c r="I11"/>
      <c r="K11"/>
      <c r="L11"/>
      <c r="M11"/>
      <c r="N11"/>
    </row>
    <row r="12" spans="1:14" s="576" customFormat="1">
      <c r="A12" s="2"/>
      <c r="B12" s="47" t="s">
        <v>21</v>
      </c>
      <c r="C12" s="31">
        <v>14</v>
      </c>
      <c r="D12"/>
      <c r="E12" s="38"/>
      <c r="F12" s="6"/>
      <c r="G12" s="6"/>
      <c r="H12" s="395"/>
      <c r="I12"/>
      <c r="K12"/>
      <c r="L12"/>
      <c r="M12"/>
      <c r="N12"/>
    </row>
    <row r="13" spans="1:14" s="576" customFormat="1">
      <c r="A13" s="2"/>
      <c r="B13" s="47" t="s">
        <v>382</v>
      </c>
      <c r="C13" s="31">
        <v>14</v>
      </c>
      <c r="D13"/>
      <c r="E13" s="38"/>
      <c r="F13" s="6"/>
      <c r="G13" s="6"/>
      <c r="H13" s="395"/>
      <c r="I13"/>
      <c r="K13"/>
      <c r="L13"/>
      <c r="M13"/>
      <c r="N13"/>
    </row>
    <row r="14" spans="1:14" s="576" customFormat="1">
      <c r="A14" s="2"/>
      <c r="B14" s="47" t="s">
        <v>12</v>
      </c>
      <c r="C14" s="31"/>
      <c r="D14"/>
      <c r="E14" s="38"/>
      <c r="F14" s="6"/>
      <c r="G14" s="6"/>
      <c r="H14" s="395"/>
      <c r="I14"/>
      <c r="K14"/>
      <c r="L14"/>
      <c r="M14"/>
      <c r="N14"/>
    </row>
    <row r="15" spans="1:14" s="576" customFormat="1">
      <c r="A15" s="2"/>
      <c r="B15" s="47" t="s">
        <v>394</v>
      </c>
      <c r="C15" s="31">
        <v>20</v>
      </c>
      <c r="D15"/>
      <c r="E15" s="38"/>
      <c r="F15" s="6"/>
      <c r="G15" s="6"/>
      <c r="H15" s="395"/>
      <c r="I15"/>
      <c r="K15"/>
      <c r="L15"/>
      <c r="M15"/>
      <c r="N15"/>
    </row>
    <row r="16" spans="1:14" s="576" customFormat="1">
      <c r="A16" s="2"/>
      <c r="B16" s="47" t="s">
        <v>9</v>
      </c>
      <c r="C16" s="31">
        <v>16</v>
      </c>
      <c r="D16"/>
      <c r="E16" s="38"/>
      <c r="F16" s="6"/>
      <c r="G16" s="6"/>
      <c r="H16" s="395"/>
      <c r="I16"/>
      <c r="K16"/>
      <c r="L16"/>
      <c r="M16"/>
      <c r="N16"/>
    </row>
    <row r="17" spans="1:14" s="576" customFormat="1">
      <c r="A17" s="2"/>
      <c r="B17" s="47" t="s">
        <v>376</v>
      </c>
      <c r="C17" s="31">
        <v>15</v>
      </c>
      <c r="D17"/>
      <c r="E17" s="38"/>
      <c r="F17" s="6"/>
      <c r="G17" s="6"/>
      <c r="H17" s="395"/>
      <c r="I17"/>
      <c r="K17"/>
      <c r="L17"/>
      <c r="M17"/>
      <c r="N17"/>
    </row>
    <row r="18" spans="1:14" s="576" customFormat="1">
      <c r="A18" s="2"/>
      <c r="B18" s="47" t="s">
        <v>395</v>
      </c>
      <c r="C18" s="31">
        <v>13</v>
      </c>
      <c r="D18"/>
      <c r="E18" s="38"/>
      <c r="F18" s="6"/>
      <c r="G18" s="6"/>
      <c r="H18" s="395"/>
      <c r="I18"/>
      <c r="K18"/>
      <c r="L18"/>
      <c r="M18"/>
      <c r="N18"/>
    </row>
    <row r="19" spans="1:14" s="576" customFormat="1">
      <c r="A19" s="2"/>
      <c r="B19" s="47" t="s">
        <v>396</v>
      </c>
      <c r="C19" s="31">
        <v>16</v>
      </c>
      <c r="D19"/>
      <c r="E19" s="38"/>
      <c r="F19" s="6"/>
      <c r="G19" s="6"/>
      <c r="H19" s="395"/>
      <c r="I19"/>
      <c r="K19"/>
      <c r="L19"/>
      <c r="M19"/>
      <c r="N19"/>
    </row>
    <row r="20" spans="1:14" s="576" customFormat="1">
      <c r="A20" s="2"/>
      <c r="B20" s="47" t="s">
        <v>397</v>
      </c>
      <c r="C20" s="31">
        <v>16</v>
      </c>
      <c r="D20"/>
      <c r="E20" s="38"/>
      <c r="F20" s="6"/>
      <c r="G20" s="6"/>
      <c r="H20" s="395"/>
      <c r="I20"/>
      <c r="K20"/>
      <c r="L20"/>
      <c r="M20"/>
      <c r="N20"/>
    </row>
    <row r="21" spans="1:14" s="576" customFormat="1">
      <c r="A21" s="2"/>
      <c r="B21" s="47" t="s">
        <v>398</v>
      </c>
      <c r="C21" s="31">
        <v>54</v>
      </c>
      <c r="D21"/>
      <c r="E21" s="38"/>
      <c r="F21" s="6"/>
      <c r="G21" s="6"/>
      <c r="H21" s="395"/>
      <c r="I21"/>
      <c r="K21"/>
      <c r="L21"/>
      <c r="M21"/>
      <c r="N21"/>
    </row>
    <row r="22" spans="1:14" s="576" customFormat="1">
      <c r="A22" s="2"/>
      <c r="B22" s="47" t="s">
        <v>399</v>
      </c>
      <c r="C22" s="31">
        <v>50</v>
      </c>
      <c r="D22"/>
      <c r="E22" s="38"/>
      <c r="F22" s="6"/>
      <c r="G22" s="6"/>
      <c r="H22" s="395"/>
      <c r="I22"/>
      <c r="K22"/>
      <c r="L22"/>
      <c r="M22"/>
      <c r="N22"/>
    </row>
    <row r="23" spans="1:14" s="576" customFormat="1">
      <c r="A23" s="2"/>
      <c r="B23" s="47" t="s">
        <v>400</v>
      </c>
      <c r="C23" s="31">
        <v>47</v>
      </c>
      <c r="D23"/>
      <c r="E23" s="38"/>
      <c r="F23" s="6"/>
      <c r="G23" s="6"/>
      <c r="H23" s="395"/>
      <c r="I23"/>
      <c r="K23"/>
      <c r="L23"/>
      <c r="M23"/>
      <c r="N23"/>
    </row>
    <row r="24" spans="1:14">
      <c r="B24" s="47" t="s">
        <v>401</v>
      </c>
      <c r="C24" s="31">
        <v>43</v>
      </c>
      <c r="E24" s="38"/>
      <c r="F24" s="6"/>
      <c r="G24" s="6"/>
      <c r="H24" s="395"/>
      <c r="I24"/>
    </row>
    <row r="25" spans="1:14">
      <c r="B25" s="47" t="s">
        <v>402</v>
      </c>
      <c r="C25" s="31">
        <v>85</v>
      </c>
      <c r="E25" s="38"/>
      <c r="F25" s="6"/>
      <c r="G25" s="6"/>
      <c r="H25" s="395"/>
      <c r="I25"/>
    </row>
    <row r="26" spans="1:14">
      <c r="B26" s="47" t="s">
        <v>403</v>
      </c>
      <c r="C26" s="31">
        <v>11</v>
      </c>
      <c r="E26" s="38"/>
      <c r="F26" s="6"/>
      <c r="G26" s="6"/>
      <c r="H26" s="395"/>
      <c r="I26"/>
    </row>
    <row r="27" spans="1:14">
      <c r="B27" s="47" t="s">
        <v>404</v>
      </c>
      <c r="C27" s="31">
        <v>4</v>
      </c>
      <c r="E27" s="38"/>
      <c r="F27" s="6"/>
      <c r="G27" s="6"/>
      <c r="H27" s="395"/>
      <c r="I27"/>
    </row>
    <row r="28" spans="1:14">
      <c r="B28" s="47" t="s">
        <v>405</v>
      </c>
      <c r="C28" s="411">
        <f>SUM(C11:C27)</f>
        <v>718</v>
      </c>
      <c r="E28" s="46"/>
      <c r="F28" s="6"/>
      <c r="G28" s="6"/>
      <c r="H28" s="395"/>
      <c r="I28"/>
    </row>
    <row r="29" spans="1:14">
      <c r="B29" s="47" t="s">
        <v>406</v>
      </c>
      <c r="C29" s="31">
        <v>550</v>
      </c>
      <c r="E29" s="38"/>
      <c r="F29" s="6"/>
      <c r="G29" s="6"/>
      <c r="H29" s="395"/>
      <c r="I29"/>
    </row>
    <row r="30" spans="1:14">
      <c r="B30" s="47" t="s">
        <v>407</v>
      </c>
      <c r="C30" s="411">
        <f>C28-C29</f>
        <v>168</v>
      </c>
      <c r="E30" s="46"/>
      <c r="F30" s="6"/>
      <c r="G30" s="6"/>
      <c r="H30" s="395"/>
      <c r="I30"/>
    </row>
    <row r="31" spans="1:14" ht="17.25" customHeight="1">
      <c r="B31" s="4"/>
      <c r="C31" s="5"/>
      <c r="E31" s="5"/>
      <c r="F31" s="6"/>
      <c r="G31" s="6"/>
      <c r="H31" s="395"/>
      <c r="I31"/>
    </row>
    <row r="32" spans="1:14" ht="17.25" customHeight="1">
      <c r="B32" s="4"/>
      <c r="C32" s="5"/>
      <c r="E32" s="5"/>
      <c r="F32" s="6"/>
      <c r="G32" s="6"/>
      <c r="H32" s="395"/>
      <c r="I32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11" ht="15.75">
      <c r="B1" s="1"/>
      <c r="D1" s="387"/>
      <c r="E1" s="3"/>
      <c r="F1" s="3"/>
      <c r="G1" s="394"/>
      <c r="H1" s="394"/>
    </row>
    <row r="2" spans="1:11" ht="17.25" customHeight="1">
      <c r="A2" s="580" t="s">
        <v>673</v>
      </c>
      <c r="B2" s="4"/>
      <c r="D2" s="5"/>
      <c r="E2" s="6"/>
      <c r="F2" s="6"/>
      <c r="G2" s="395"/>
      <c r="H2" s="395"/>
    </row>
    <row r="3" spans="1:11" ht="17.25" customHeight="1">
      <c r="B3" s="4"/>
      <c r="D3" s="5"/>
      <c r="E3" s="6"/>
      <c r="F3" s="6"/>
      <c r="G3" s="395"/>
      <c r="H3" s="395"/>
    </row>
    <row r="4" spans="1:11" ht="39" customHeight="1">
      <c r="A4" s="75" t="s">
        <v>313</v>
      </c>
      <c r="B4" s="488" t="s">
        <v>408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11">
      <c r="A5" s="75" t="s">
        <v>409</v>
      </c>
      <c r="B5" s="11" t="s">
        <v>410</v>
      </c>
      <c r="D5" s="13">
        <v>486.12</v>
      </c>
      <c r="E5" s="14">
        <v>390.42599999999999</v>
      </c>
      <c r="F5" s="26" t="e">
        <f>(E5/#REF!)*100</f>
        <v>#REF!</v>
      </c>
      <c r="G5" s="26">
        <f t="shared" ref="G5:G26" si="0">(E5/D5)*100</f>
        <v>80.314737101950129</v>
      </c>
      <c r="H5"/>
      <c r="I5" s="589">
        <v>310</v>
      </c>
      <c r="K5" s="84"/>
    </row>
    <row r="6" spans="1:11">
      <c r="B6" s="11" t="s">
        <v>326</v>
      </c>
      <c r="D6" s="13">
        <v>170</v>
      </c>
      <c r="E6" s="14">
        <v>144.37299999999999</v>
      </c>
      <c r="F6" s="26" t="e">
        <f>(E6/#REF!)*100</f>
        <v>#REF!</v>
      </c>
      <c r="G6" s="26">
        <f t="shared" si="0"/>
        <v>84.925294117647056</v>
      </c>
      <c r="H6"/>
      <c r="I6" s="589">
        <v>104</v>
      </c>
      <c r="K6" s="84"/>
    </row>
    <row r="7" spans="1:11">
      <c r="B7" s="11" t="s">
        <v>327</v>
      </c>
      <c r="D7" s="13">
        <v>70</v>
      </c>
      <c r="E7" s="14">
        <v>57.347999999999999</v>
      </c>
      <c r="F7" s="26" t="e">
        <f>(E7/#REF!)*100</f>
        <v>#REF!</v>
      </c>
      <c r="G7" s="26">
        <f t="shared" si="0"/>
        <v>81.925714285714278</v>
      </c>
      <c r="H7"/>
      <c r="I7" s="589">
        <v>41</v>
      </c>
      <c r="K7" s="84"/>
    </row>
    <row r="8" spans="1:11">
      <c r="B8" s="11" t="s">
        <v>328</v>
      </c>
      <c r="D8" s="13">
        <v>3</v>
      </c>
      <c r="E8" s="14">
        <v>2.1539999999999999</v>
      </c>
      <c r="F8" s="26" t="e">
        <f>(E8/#REF!)*100</f>
        <v>#REF!</v>
      </c>
      <c r="G8" s="26">
        <f t="shared" si="0"/>
        <v>71.8</v>
      </c>
      <c r="H8"/>
      <c r="I8" s="589">
        <v>3</v>
      </c>
      <c r="K8" s="84"/>
    </row>
    <row r="9" spans="1:11">
      <c r="B9" s="17" t="s">
        <v>599</v>
      </c>
      <c r="D9" s="13"/>
      <c r="E9" s="14"/>
      <c r="F9" s="26"/>
      <c r="G9" s="26"/>
      <c r="H9"/>
      <c r="I9" s="589"/>
      <c r="K9" s="84"/>
    </row>
    <row r="10" spans="1:11">
      <c r="B10" s="11" t="s">
        <v>411</v>
      </c>
      <c r="D10" s="13">
        <v>250</v>
      </c>
      <c r="E10" s="14">
        <v>202.95</v>
      </c>
      <c r="F10" s="26" t="e">
        <f>(E10/#REF!)*100</f>
        <v>#REF!</v>
      </c>
      <c r="G10" s="26">
        <f t="shared" si="0"/>
        <v>81.179999999999993</v>
      </c>
      <c r="H10"/>
      <c r="I10" s="589">
        <v>185</v>
      </c>
      <c r="K10" s="84"/>
    </row>
    <row r="11" spans="1:11">
      <c r="B11" s="11" t="s">
        <v>330</v>
      </c>
      <c r="D11" s="13">
        <v>30</v>
      </c>
      <c r="E11" s="14">
        <v>24.103000000000002</v>
      </c>
      <c r="F11" s="26" t="e">
        <f>(E11/#REF!)*100</f>
        <v>#REF!</v>
      </c>
      <c r="G11" s="26">
        <f t="shared" si="0"/>
        <v>80.343333333333334</v>
      </c>
      <c r="H11"/>
      <c r="I11" s="589">
        <v>30</v>
      </c>
      <c r="K11" s="84"/>
    </row>
    <row r="12" spans="1:11">
      <c r="B12" s="11" t="s">
        <v>331</v>
      </c>
      <c r="D12" s="13">
        <v>10</v>
      </c>
      <c r="E12" s="14">
        <v>7.524</v>
      </c>
      <c r="F12" s="26" t="e">
        <f>(E12/#REF!)*100</f>
        <v>#REF!</v>
      </c>
      <c r="G12" s="26">
        <f t="shared" si="0"/>
        <v>75.239999999999995</v>
      </c>
      <c r="H12"/>
      <c r="I12" s="589">
        <v>10</v>
      </c>
      <c r="K12" s="84"/>
    </row>
    <row r="13" spans="1:11">
      <c r="B13" s="11" t="s">
        <v>352</v>
      </c>
      <c r="D13" s="13">
        <v>5</v>
      </c>
      <c r="E13" s="14"/>
      <c r="F13" s="26" t="e">
        <f>(E13/#REF!)*100</f>
        <v>#REF!</v>
      </c>
      <c r="G13" s="26">
        <f t="shared" si="0"/>
        <v>0</v>
      </c>
      <c r="H13"/>
      <c r="I13" s="589">
        <v>5</v>
      </c>
      <c r="K13" s="84"/>
    </row>
    <row r="14" spans="1:11">
      <c r="B14" s="11" t="s">
        <v>345</v>
      </c>
      <c r="D14" s="48">
        <v>78</v>
      </c>
      <c r="E14" s="14">
        <v>57.538930000000001</v>
      </c>
      <c r="F14" s="26" t="e">
        <f>(E14/#REF!)*100</f>
        <v>#REF!</v>
      </c>
      <c r="G14" s="26">
        <f t="shared" si="0"/>
        <v>73.767858974358973</v>
      </c>
      <c r="H14"/>
      <c r="I14" s="589">
        <v>78</v>
      </c>
      <c r="K14" s="84"/>
    </row>
    <row r="15" spans="1:11">
      <c r="B15" s="11" t="s">
        <v>332</v>
      </c>
      <c r="D15" s="13">
        <v>7</v>
      </c>
      <c r="E15" s="14">
        <v>3.2050000000000001</v>
      </c>
      <c r="F15" s="26" t="e">
        <f>(E15/#REF!)*100</f>
        <v>#REF!</v>
      </c>
      <c r="G15" s="26">
        <f t="shared" si="0"/>
        <v>45.785714285714285</v>
      </c>
      <c r="H15"/>
      <c r="I15" s="589">
        <v>3</v>
      </c>
      <c r="K15" s="84"/>
    </row>
    <row r="16" spans="1:11">
      <c r="B16" s="11" t="s">
        <v>412</v>
      </c>
      <c r="D16" s="13">
        <v>3</v>
      </c>
      <c r="E16" s="14">
        <v>0.73399999999999999</v>
      </c>
      <c r="F16" s="26" t="e">
        <f>(E16/#REF!)*100</f>
        <v>#REF!</v>
      </c>
      <c r="G16" s="26">
        <f t="shared" si="0"/>
        <v>24.466666666666669</v>
      </c>
      <c r="H16"/>
      <c r="I16" s="589">
        <v>3</v>
      </c>
      <c r="K16" s="84"/>
    </row>
    <row r="17" spans="2:11">
      <c r="B17" s="11" t="s">
        <v>413</v>
      </c>
      <c r="D17" s="13">
        <v>30</v>
      </c>
      <c r="E17" s="14">
        <v>21.508479999999999</v>
      </c>
      <c r="F17" s="26" t="e">
        <f>(E17/#REF!)*100</f>
        <v>#REF!</v>
      </c>
      <c r="G17" s="26">
        <f t="shared" si="0"/>
        <v>71.694933333333339</v>
      </c>
      <c r="H17"/>
      <c r="I17" s="589">
        <v>30</v>
      </c>
      <c r="K17" s="84"/>
    </row>
    <row r="18" spans="2:11">
      <c r="B18" s="11" t="s">
        <v>414</v>
      </c>
      <c r="D18" s="13">
        <v>3</v>
      </c>
      <c r="E18" s="14">
        <v>0.1875</v>
      </c>
      <c r="F18" s="26" t="e">
        <f>(E18/#REF!)*100</f>
        <v>#REF!</v>
      </c>
      <c r="G18" s="26">
        <f t="shared" si="0"/>
        <v>6.25</v>
      </c>
      <c r="H18"/>
      <c r="I18" s="589">
        <v>3</v>
      </c>
      <c r="K18" s="84"/>
    </row>
    <row r="19" spans="2:11" ht="25.5">
      <c r="B19" s="471" t="s">
        <v>550</v>
      </c>
      <c r="D19" s="13"/>
      <c r="E19" s="14"/>
      <c r="F19" s="26"/>
      <c r="G19" s="26"/>
      <c r="H19"/>
      <c r="I19" s="589">
        <v>10</v>
      </c>
      <c r="K19" s="84"/>
    </row>
    <row r="20" spans="2:11">
      <c r="B20" s="471" t="s">
        <v>464</v>
      </c>
      <c r="D20" s="23">
        <v>40</v>
      </c>
      <c r="E20" s="34"/>
      <c r="F20" s="26" t="e">
        <f>(E20/#REF!)*100</f>
        <v>#REF!</v>
      </c>
      <c r="G20" s="26">
        <f t="shared" si="0"/>
        <v>0</v>
      </c>
      <c r="H20"/>
      <c r="I20" s="589">
        <v>50</v>
      </c>
      <c r="K20" s="84"/>
    </row>
    <row r="21" spans="2:11">
      <c r="B21" s="11" t="s">
        <v>335</v>
      </c>
      <c r="D21" s="13">
        <v>5</v>
      </c>
      <c r="E21" s="14"/>
      <c r="F21" s="26" t="e">
        <f>(E21/#REF!)*100</f>
        <v>#REF!</v>
      </c>
      <c r="G21" s="26">
        <f t="shared" si="0"/>
        <v>0</v>
      </c>
      <c r="H21"/>
      <c r="I21" s="589">
        <v>5</v>
      </c>
      <c r="K21" s="84"/>
    </row>
    <row r="22" spans="2:11">
      <c r="B22" s="11" t="s">
        <v>416</v>
      </c>
      <c r="D22" s="13">
        <v>4</v>
      </c>
      <c r="E22" s="14">
        <v>0.501</v>
      </c>
      <c r="F22" s="26" t="e">
        <f>(E22/#REF!)*100</f>
        <v>#REF!</v>
      </c>
      <c r="G22" s="26">
        <f t="shared" si="0"/>
        <v>12.525</v>
      </c>
      <c r="H22"/>
      <c r="I22" s="589">
        <v>4</v>
      </c>
      <c r="K22" s="84"/>
    </row>
    <row r="23" spans="2:11">
      <c r="B23" s="11" t="s">
        <v>417</v>
      </c>
      <c r="D23" s="13">
        <v>2</v>
      </c>
      <c r="E23" s="14">
        <v>0.9</v>
      </c>
      <c r="F23" s="26" t="e">
        <f>(E23/#REF!)*100</f>
        <v>#REF!</v>
      </c>
      <c r="G23" s="26">
        <f t="shared" si="0"/>
        <v>45</v>
      </c>
      <c r="H23"/>
      <c r="I23" s="589">
        <v>1</v>
      </c>
      <c r="K23" s="84"/>
    </row>
    <row r="24" spans="2:11">
      <c r="B24" s="11" t="s">
        <v>418</v>
      </c>
      <c r="D24" s="13">
        <v>10</v>
      </c>
      <c r="E24" s="14"/>
      <c r="F24" s="26" t="e">
        <f>(E24/#REF!)*100</f>
        <v>#REF!</v>
      </c>
      <c r="G24" s="26">
        <f t="shared" si="0"/>
        <v>0</v>
      </c>
      <c r="H24"/>
      <c r="I24" s="589">
        <v>10</v>
      </c>
      <c r="K24" s="84"/>
    </row>
    <row r="25" spans="2:11">
      <c r="B25" s="11" t="s">
        <v>338</v>
      </c>
      <c r="D25" s="13">
        <v>15</v>
      </c>
      <c r="E25" s="14">
        <v>8.9749999999999996</v>
      </c>
      <c r="F25" s="26" t="e">
        <f>(E25/#REF!)*100</f>
        <v>#REF!</v>
      </c>
      <c r="G25" s="26">
        <f t="shared" si="0"/>
        <v>59.833333333333329</v>
      </c>
      <c r="H25"/>
      <c r="I25" s="589">
        <v>15</v>
      </c>
      <c r="K25" s="84"/>
    </row>
    <row r="26" spans="2:11">
      <c r="B26" s="18" t="s">
        <v>10</v>
      </c>
      <c r="D26" s="19">
        <f>SUM(D5:D25)</f>
        <v>1221.1199999999999</v>
      </c>
      <c r="E26" s="20">
        <f>SUM(E5:E25)</f>
        <v>922.42791</v>
      </c>
      <c r="F26" s="18" t="e">
        <f>(E26/#REF!)*100</f>
        <v>#REF!</v>
      </c>
      <c r="G26" s="18">
        <f t="shared" si="0"/>
        <v>75.539497346698113</v>
      </c>
      <c r="H26"/>
      <c r="I26" s="590">
        <f>SUM(I5:I25)</f>
        <v>900</v>
      </c>
    </row>
    <row r="27" spans="2:11" ht="17.25" customHeight="1">
      <c r="B27" s="4"/>
      <c r="D27" s="5"/>
      <c r="E27" s="6"/>
      <c r="F27" s="6"/>
      <c r="G27" s="395"/>
      <c r="H27"/>
    </row>
    <row r="28" spans="2:11" ht="17.25" customHeight="1">
      <c r="B28" s="4"/>
      <c r="D28" s="5"/>
      <c r="E28" s="6"/>
      <c r="F28" s="6"/>
      <c r="G28" s="395"/>
      <c r="H2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" customHeight="1">
      <c r="A4" s="75" t="s">
        <v>313</v>
      </c>
      <c r="B4" s="488" t="s">
        <v>683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B5" s="49" t="s">
        <v>22</v>
      </c>
      <c r="D5" s="50"/>
      <c r="E5" s="51"/>
      <c r="F5" s="51"/>
      <c r="G5" s="413"/>
      <c r="H5"/>
    </row>
    <row r="6" spans="1:9">
      <c r="A6" s="75" t="s">
        <v>420</v>
      </c>
      <c r="B6" s="11" t="s">
        <v>410</v>
      </c>
      <c r="D6" s="13">
        <v>1100</v>
      </c>
      <c r="E6" s="14">
        <v>610.24599999999998</v>
      </c>
      <c r="F6" s="26" t="e">
        <f>(E6/#REF!)*100</f>
        <v>#REF!</v>
      </c>
      <c r="G6" s="26">
        <f t="shared" ref="G6:G35" si="0">(E6/D6)*100</f>
        <v>55.476909090909089</v>
      </c>
      <c r="H6"/>
      <c r="I6" s="589">
        <v>1200</v>
      </c>
    </row>
    <row r="7" spans="1:9">
      <c r="B7" s="11" t="s">
        <v>325</v>
      </c>
      <c r="D7" s="24">
        <v>100</v>
      </c>
      <c r="E7" s="25">
        <v>49.06</v>
      </c>
      <c r="F7" s="26" t="e">
        <f>(E7/#REF!)*100</f>
        <v>#REF!</v>
      </c>
      <c r="G7" s="26">
        <f t="shared" si="0"/>
        <v>49.06</v>
      </c>
      <c r="H7"/>
      <c r="I7" s="589">
        <v>200</v>
      </c>
    </row>
    <row r="8" spans="1:9">
      <c r="B8" s="11" t="s">
        <v>326</v>
      </c>
      <c r="D8" s="13">
        <v>370</v>
      </c>
      <c r="E8" s="14">
        <v>224.46600000000001</v>
      </c>
      <c r="F8" s="26" t="e">
        <f>(E8/#REF!)*100</f>
        <v>#REF!</v>
      </c>
      <c r="G8" s="26">
        <f t="shared" si="0"/>
        <v>60.666486486486491</v>
      </c>
      <c r="H8"/>
      <c r="I8" s="589">
        <v>400</v>
      </c>
    </row>
    <row r="9" spans="1:9">
      <c r="B9" s="11" t="s">
        <v>327</v>
      </c>
      <c r="D9" s="13">
        <v>150</v>
      </c>
      <c r="E9" s="14">
        <v>117.235</v>
      </c>
      <c r="F9" s="26" t="e">
        <f>(E9/#REF!)*100</f>
        <v>#REF!</v>
      </c>
      <c r="G9" s="26">
        <f t="shared" si="0"/>
        <v>78.156666666666666</v>
      </c>
      <c r="H9"/>
      <c r="I9" s="589">
        <v>200</v>
      </c>
    </row>
    <row r="10" spans="1:9">
      <c r="B10" s="11" t="s">
        <v>328</v>
      </c>
      <c r="D10" s="13">
        <v>5</v>
      </c>
      <c r="E10" s="14">
        <v>3.8580000000000001</v>
      </c>
      <c r="F10" s="26" t="e">
        <f>(E10/#REF!)*100</f>
        <v>#REF!</v>
      </c>
      <c r="G10" s="26">
        <f t="shared" si="0"/>
        <v>77.160000000000011</v>
      </c>
      <c r="H10"/>
      <c r="I10" s="589">
        <v>5</v>
      </c>
    </row>
    <row r="11" spans="1:9">
      <c r="B11" s="11" t="s">
        <v>421</v>
      </c>
      <c r="D11" s="13">
        <v>3</v>
      </c>
      <c r="E11" s="14"/>
      <c r="F11" s="26" t="e">
        <f>(E11/#REF!)*100</f>
        <v>#REF!</v>
      </c>
      <c r="G11" s="26">
        <f t="shared" si="0"/>
        <v>0</v>
      </c>
      <c r="H11"/>
      <c r="I11" s="589"/>
    </row>
    <row r="12" spans="1:9">
      <c r="B12" s="17" t="s">
        <v>601</v>
      </c>
      <c r="D12" s="13"/>
      <c r="E12" s="14"/>
      <c r="F12" s="26"/>
      <c r="G12" s="26"/>
      <c r="H12"/>
      <c r="I12" s="589"/>
    </row>
    <row r="13" spans="1:9">
      <c r="B13" s="11" t="s">
        <v>411</v>
      </c>
      <c r="D13" s="13">
        <v>20</v>
      </c>
      <c r="E13" s="14">
        <v>2.6890000000000001</v>
      </c>
      <c r="F13" s="26" t="e">
        <f>(E13/#REF!)*100</f>
        <v>#REF!</v>
      </c>
      <c r="G13" s="26">
        <f t="shared" si="0"/>
        <v>13.445000000000002</v>
      </c>
      <c r="H13"/>
      <c r="I13" s="589">
        <v>10</v>
      </c>
    </row>
    <row r="14" spans="1:9">
      <c r="B14" s="11" t="s">
        <v>330</v>
      </c>
      <c r="D14" s="24">
        <v>40</v>
      </c>
      <c r="E14" s="25">
        <v>2</v>
      </c>
      <c r="F14" s="26" t="e">
        <f>(E14/#REF!)*100</f>
        <v>#REF!</v>
      </c>
      <c r="G14" s="26">
        <f t="shared" si="0"/>
        <v>5</v>
      </c>
      <c r="H14"/>
      <c r="I14" s="589">
        <v>50</v>
      </c>
    </row>
    <row r="15" spans="1:9">
      <c r="B15" s="11" t="s">
        <v>422</v>
      </c>
      <c r="D15" s="13">
        <v>120</v>
      </c>
      <c r="E15" s="14">
        <v>77.433930000000004</v>
      </c>
      <c r="F15" s="26" t="e">
        <f>(E15/#REF!)*100</f>
        <v>#REF!</v>
      </c>
      <c r="G15" s="26">
        <f t="shared" si="0"/>
        <v>64.528275000000008</v>
      </c>
      <c r="H15"/>
      <c r="I15" s="589">
        <v>200</v>
      </c>
    </row>
    <row r="16" spans="1:9">
      <c r="B16" s="11" t="s">
        <v>331</v>
      </c>
      <c r="D16" s="13">
        <v>40</v>
      </c>
      <c r="E16" s="14">
        <v>34.833129999999997</v>
      </c>
      <c r="F16" s="26" t="e">
        <f>(E16/#REF!)*100</f>
        <v>#REF!</v>
      </c>
      <c r="G16" s="26">
        <f t="shared" si="0"/>
        <v>87.082825</v>
      </c>
      <c r="H16"/>
      <c r="I16" s="589">
        <v>35</v>
      </c>
    </row>
    <row r="17" spans="2:9">
      <c r="B17" s="11" t="s">
        <v>352</v>
      </c>
      <c r="D17" s="13">
        <v>14</v>
      </c>
      <c r="E17" s="14">
        <v>5.1470000000000002</v>
      </c>
      <c r="F17" s="26" t="e">
        <f>(E17/#REF!)*100</f>
        <v>#REF!</v>
      </c>
      <c r="G17" s="26">
        <f t="shared" si="0"/>
        <v>36.76428571428572</v>
      </c>
      <c r="H17"/>
      <c r="I17" s="589">
        <v>8</v>
      </c>
    </row>
    <row r="18" spans="2:9">
      <c r="B18" s="52" t="s">
        <v>23</v>
      </c>
      <c r="D18" s="13">
        <v>230</v>
      </c>
      <c r="E18" s="14">
        <v>92.1</v>
      </c>
      <c r="F18" s="26" t="e">
        <f>(E18/#REF!)*100</f>
        <v>#REF!</v>
      </c>
      <c r="G18" s="26">
        <f t="shared" si="0"/>
        <v>40.043478260869563</v>
      </c>
      <c r="H18"/>
      <c r="I18" s="589">
        <v>140</v>
      </c>
    </row>
    <row r="19" spans="2:9">
      <c r="B19" s="11" t="s">
        <v>345</v>
      </c>
      <c r="D19" s="13">
        <v>80</v>
      </c>
      <c r="E19" s="14">
        <v>25.554639999999999</v>
      </c>
      <c r="F19" s="26" t="e">
        <f>(E19/#REF!)*100</f>
        <v>#REF!</v>
      </c>
      <c r="G19" s="26">
        <f t="shared" si="0"/>
        <v>31.943299999999997</v>
      </c>
      <c r="H19"/>
      <c r="I19" s="589">
        <v>50</v>
      </c>
    </row>
    <row r="20" spans="2:9">
      <c r="B20" s="11" t="s">
        <v>332</v>
      </c>
      <c r="D20" s="24">
        <v>5</v>
      </c>
      <c r="E20" s="25"/>
      <c r="F20" s="26" t="e">
        <f>(E20/#REF!)*100</f>
        <v>#REF!</v>
      </c>
      <c r="G20" s="26">
        <f t="shared" si="0"/>
        <v>0</v>
      </c>
      <c r="H20"/>
      <c r="I20" s="589"/>
    </row>
    <row r="21" spans="2:9">
      <c r="B21" s="11" t="s">
        <v>412</v>
      </c>
      <c r="D21" s="13">
        <v>29</v>
      </c>
      <c r="E21" s="14">
        <v>17.928000000000001</v>
      </c>
      <c r="F21" s="26" t="e">
        <f>(E21/#REF!)*100</f>
        <v>#REF!</v>
      </c>
      <c r="G21" s="26">
        <f t="shared" si="0"/>
        <v>61.820689655172409</v>
      </c>
      <c r="H21"/>
      <c r="I21" s="589">
        <v>40</v>
      </c>
    </row>
    <row r="22" spans="2:9">
      <c r="B22" s="11" t="s">
        <v>423</v>
      </c>
      <c r="D22" s="13">
        <v>45</v>
      </c>
      <c r="E22" s="14">
        <v>30.784759999999999</v>
      </c>
      <c r="F22" s="26" t="e">
        <f>(E22/#REF!)*100</f>
        <v>#REF!</v>
      </c>
      <c r="G22" s="26">
        <f t="shared" si="0"/>
        <v>68.410577777777775</v>
      </c>
      <c r="H22"/>
      <c r="I22" s="589">
        <v>30</v>
      </c>
    </row>
    <row r="23" spans="2:9">
      <c r="B23" s="17" t="s">
        <v>334</v>
      </c>
      <c r="D23" s="13"/>
      <c r="E23" s="14"/>
      <c r="F23" s="26"/>
      <c r="G23" s="26"/>
      <c r="H23"/>
      <c r="I23" s="589">
        <v>9</v>
      </c>
    </row>
    <row r="24" spans="2:9">
      <c r="B24" s="11" t="s">
        <v>425</v>
      </c>
      <c r="D24" s="13">
        <v>5</v>
      </c>
      <c r="E24" s="14">
        <v>3.63</v>
      </c>
      <c r="F24" s="26" t="e">
        <f>(E24/#REF!)*100</f>
        <v>#REF!</v>
      </c>
      <c r="G24" s="26">
        <f t="shared" si="0"/>
        <v>72.599999999999994</v>
      </c>
      <c r="H24"/>
      <c r="I24" s="589">
        <v>20</v>
      </c>
    </row>
    <row r="25" spans="2:9">
      <c r="B25" s="11" t="s">
        <v>319</v>
      </c>
      <c r="D25" s="24">
        <v>22</v>
      </c>
      <c r="E25" s="25">
        <v>15.7075</v>
      </c>
      <c r="F25" s="26" t="e">
        <f>(E25/#REF!)*100</f>
        <v>#REF!</v>
      </c>
      <c r="G25" s="26">
        <f t="shared" si="0"/>
        <v>71.39772727272728</v>
      </c>
      <c r="H25"/>
      <c r="I25" s="589">
        <v>20</v>
      </c>
    </row>
    <row r="26" spans="2:9">
      <c r="B26" s="471" t="s">
        <v>320</v>
      </c>
      <c r="D26" s="23">
        <v>376</v>
      </c>
      <c r="E26" s="34">
        <v>375.07830000000001</v>
      </c>
      <c r="F26" s="26" t="e">
        <f>(E26/#REF!)*100</f>
        <v>#REF!</v>
      </c>
      <c r="G26" s="26">
        <f t="shared" si="0"/>
        <v>99.754867021276596</v>
      </c>
      <c r="H26"/>
      <c r="I26" s="589">
        <v>700</v>
      </c>
    </row>
    <row r="27" spans="2:9">
      <c r="B27" s="11" t="s">
        <v>335</v>
      </c>
      <c r="D27" s="13">
        <v>20</v>
      </c>
      <c r="E27" s="14">
        <v>14.42914</v>
      </c>
      <c r="F27" s="26" t="e">
        <f>(E27/#REF!)*100</f>
        <v>#REF!</v>
      </c>
      <c r="G27" s="26">
        <f t="shared" si="0"/>
        <v>72.145700000000005</v>
      </c>
      <c r="H27"/>
      <c r="I27" s="589">
        <v>20</v>
      </c>
    </row>
    <row r="28" spans="2:9">
      <c r="B28" s="11" t="s">
        <v>416</v>
      </c>
      <c r="D28" s="13">
        <v>3</v>
      </c>
      <c r="E28" s="14">
        <v>1.7969999999999999</v>
      </c>
      <c r="F28" s="26" t="e">
        <f>(E28/#REF!)*100</f>
        <v>#REF!</v>
      </c>
      <c r="G28" s="26">
        <f t="shared" si="0"/>
        <v>59.9</v>
      </c>
      <c r="H28"/>
      <c r="I28" s="589">
        <v>3</v>
      </c>
    </row>
    <row r="29" spans="2:9">
      <c r="B29" s="11" t="s">
        <v>426</v>
      </c>
      <c r="D29" s="13">
        <v>70</v>
      </c>
      <c r="E29" s="14">
        <v>2.4940000000000002</v>
      </c>
      <c r="F29" s="26" t="e">
        <f>(E29/#REF!)*100</f>
        <v>#REF!</v>
      </c>
      <c r="G29" s="26">
        <f t="shared" si="0"/>
        <v>3.5628571428571432</v>
      </c>
      <c r="H29"/>
      <c r="I29" s="589">
        <v>30</v>
      </c>
    </row>
    <row r="30" spans="2:9">
      <c r="B30" s="11" t="s">
        <v>427</v>
      </c>
      <c r="D30" s="24">
        <v>5</v>
      </c>
      <c r="E30" s="25"/>
      <c r="F30" s="26" t="e">
        <f>(E30/#REF!)*100</f>
        <v>#REF!</v>
      </c>
      <c r="G30" s="26">
        <f t="shared" si="0"/>
        <v>0</v>
      </c>
      <c r="H30"/>
      <c r="I30" s="589">
        <v>40</v>
      </c>
    </row>
    <row r="31" spans="2:9">
      <c r="B31" s="11" t="s">
        <v>428</v>
      </c>
      <c r="D31" s="13">
        <v>48</v>
      </c>
      <c r="E31" s="14"/>
      <c r="F31" s="26"/>
      <c r="G31" s="26">
        <f t="shared" si="0"/>
        <v>0</v>
      </c>
      <c r="H31"/>
      <c r="I31" s="589"/>
    </row>
    <row r="32" spans="2:9">
      <c r="B32" s="11" t="s">
        <v>429</v>
      </c>
      <c r="D32" s="13">
        <v>1</v>
      </c>
      <c r="E32" s="14"/>
      <c r="F32" s="26"/>
      <c r="G32" s="26">
        <f t="shared" si="0"/>
        <v>0</v>
      </c>
      <c r="H32"/>
      <c r="I32" s="589"/>
    </row>
    <row r="33" spans="1:9">
      <c r="B33" s="11" t="s">
        <v>418</v>
      </c>
      <c r="D33" s="13">
        <v>5</v>
      </c>
      <c r="E33" s="14">
        <v>6.7000000000000004E-2</v>
      </c>
      <c r="F33" s="26" t="e">
        <f>(E33/#REF!)*100</f>
        <v>#REF!</v>
      </c>
      <c r="G33" s="26">
        <f t="shared" si="0"/>
        <v>1.34</v>
      </c>
      <c r="H33"/>
      <c r="I33" s="589">
        <v>5</v>
      </c>
    </row>
    <row r="34" spans="1:9">
      <c r="B34" s="17" t="s">
        <v>738</v>
      </c>
      <c r="D34" s="13">
        <v>20</v>
      </c>
      <c r="E34" s="14">
        <v>15.7</v>
      </c>
      <c r="F34" s="26" t="e">
        <f>(E34/#REF!)*100</f>
        <v>#REF!</v>
      </c>
      <c r="G34" s="26">
        <f t="shared" si="0"/>
        <v>78.499999999999986</v>
      </c>
      <c r="H34"/>
      <c r="I34" s="589">
        <v>30</v>
      </c>
    </row>
    <row r="35" spans="1:9">
      <c r="B35" s="53"/>
      <c r="D35" s="39">
        <f>SUM(D6:D34)</f>
        <v>2926</v>
      </c>
      <c r="E35" s="40">
        <f>SUM(E6:E34)</f>
        <v>1722.2384</v>
      </c>
      <c r="F35" s="39" t="e">
        <f>(E35/#REF!)*100</f>
        <v>#REF!</v>
      </c>
      <c r="G35" s="39">
        <f t="shared" si="0"/>
        <v>58.859822282980176</v>
      </c>
      <c r="H35"/>
      <c r="I35" s="590">
        <f>SUM(I6:I34)</f>
        <v>3445</v>
      </c>
    </row>
    <row r="36" spans="1:9">
      <c r="B36" s="55"/>
      <c r="D36" s="46"/>
      <c r="E36" s="56"/>
      <c r="F36" s="56"/>
      <c r="G36" s="414"/>
      <c r="H36"/>
    </row>
    <row r="37" spans="1:9">
      <c r="A37" s="75" t="s">
        <v>313</v>
      </c>
      <c r="B37" s="49" t="s">
        <v>24</v>
      </c>
      <c r="D37" s="50"/>
      <c r="E37" s="51"/>
      <c r="F37" s="51"/>
      <c r="G37" s="413"/>
      <c r="H37"/>
    </row>
    <row r="38" spans="1:9">
      <c r="A38" s="75" t="s">
        <v>430</v>
      </c>
      <c r="B38" s="11" t="s">
        <v>331</v>
      </c>
      <c r="D38" s="13">
        <v>0</v>
      </c>
      <c r="E38" s="14">
        <v>0.78</v>
      </c>
      <c r="F38" s="415" t="e">
        <f>(E38/#REF!)*100</f>
        <v>#REF!</v>
      </c>
      <c r="G38" s="415" t="e">
        <f t="shared" ref="G38:G45" si="1">(E38/D38)*100</f>
        <v>#DIV/0!</v>
      </c>
      <c r="H38"/>
      <c r="I38" s="589">
        <v>5</v>
      </c>
    </row>
    <row r="39" spans="1:9">
      <c r="B39" s="11" t="s">
        <v>352</v>
      </c>
      <c r="D39" s="13">
        <v>1</v>
      </c>
      <c r="E39" s="14">
        <v>0.36</v>
      </c>
      <c r="F39" s="26" t="e">
        <f>(E39/#REF!)*100</f>
        <v>#REF!</v>
      </c>
      <c r="G39" s="26">
        <f t="shared" si="1"/>
        <v>36</v>
      </c>
      <c r="H39"/>
      <c r="I39" s="589">
        <v>4</v>
      </c>
    </row>
    <row r="40" spans="1:9">
      <c r="B40" s="52" t="s">
        <v>431</v>
      </c>
      <c r="D40" s="24">
        <v>55</v>
      </c>
      <c r="E40" s="25">
        <v>37.299999999999997</v>
      </c>
      <c r="F40" s="26" t="e">
        <f>(E40/#REF!)*100</f>
        <v>#REF!</v>
      </c>
      <c r="G40" s="26">
        <f t="shared" si="1"/>
        <v>67.818181818181813</v>
      </c>
      <c r="H40"/>
      <c r="I40" s="589">
        <v>40</v>
      </c>
    </row>
    <row r="41" spans="1:9">
      <c r="B41" s="11" t="s">
        <v>345</v>
      </c>
      <c r="D41" s="13">
        <v>30</v>
      </c>
      <c r="E41" s="14">
        <v>29.98903</v>
      </c>
      <c r="F41" s="26" t="e">
        <f>(E41/#REF!)*100</f>
        <v>#REF!</v>
      </c>
      <c r="G41" s="26">
        <f t="shared" si="1"/>
        <v>99.963433333333327</v>
      </c>
      <c r="H41"/>
      <c r="I41" s="589">
        <v>35</v>
      </c>
    </row>
    <row r="42" spans="1:9">
      <c r="B42" s="11" t="s">
        <v>423</v>
      </c>
      <c r="D42" s="13">
        <v>1</v>
      </c>
      <c r="E42" s="14"/>
      <c r="F42" s="26" t="e">
        <f>(E42/#REF!)*100</f>
        <v>#REF!</v>
      </c>
      <c r="G42" s="26">
        <f t="shared" si="1"/>
        <v>0</v>
      </c>
      <c r="H42"/>
      <c r="I42" s="589">
        <v>10</v>
      </c>
    </row>
    <row r="43" spans="1:9">
      <c r="B43" s="11" t="s">
        <v>424</v>
      </c>
      <c r="D43" s="13">
        <v>14</v>
      </c>
      <c r="E43" s="14"/>
      <c r="F43" s="26" t="e">
        <f>(E43/#REF!)*100</f>
        <v>#REF!</v>
      </c>
      <c r="G43" s="26">
        <f t="shared" si="1"/>
        <v>0</v>
      </c>
      <c r="H43"/>
      <c r="I43" s="589">
        <v>4</v>
      </c>
    </row>
    <row r="44" spans="1:9">
      <c r="B44" s="11" t="s">
        <v>320</v>
      </c>
      <c r="D44" s="23">
        <v>6</v>
      </c>
      <c r="E44" s="23"/>
      <c r="F44" s="26" t="e">
        <f>(E44/#REF!)*100</f>
        <v>#REF!</v>
      </c>
      <c r="G44" s="26">
        <f t="shared" si="1"/>
        <v>0</v>
      </c>
      <c r="H44"/>
      <c r="I44" s="589">
        <v>7</v>
      </c>
    </row>
    <row r="45" spans="1:9">
      <c r="B45" s="53"/>
      <c r="D45" s="39">
        <f>SUM(D38:D44)</f>
        <v>107</v>
      </c>
      <c r="E45" s="40">
        <f>SUM(E38:E44)</f>
        <v>68.429029999999997</v>
      </c>
      <c r="F45" s="39" t="e">
        <f>(E45/#REF!)*100</f>
        <v>#REF!</v>
      </c>
      <c r="G45" s="39">
        <f t="shared" si="1"/>
        <v>63.952364485981306</v>
      </c>
      <c r="H45"/>
      <c r="I45" s="590">
        <f>SUM(I38:I44)</f>
        <v>105</v>
      </c>
    </row>
    <row r="46" spans="1:9">
      <c r="B46" s="58"/>
      <c r="D46" s="46"/>
      <c r="E46" s="59"/>
      <c r="F46" s="59"/>
      <c r="G46" s="416"/>
      <c r="H46"/>
    </row>
    <row r="47" spans="1:9">
      <c r="A47" s="75" t="s">
        <v>313</v>
      </c>
      <c r="B47" s="49" t="s">
        <v>25</v>
      </c>
      <c r="D47" s="60"/>
      <c r="E47" s="51"/>
      <c r="F47" s="51"/>
      <c r="G47" s="413"/>
      <c r="H47"/>
    </row>
    <row r="48" spans="1:9">
      <c r="A48" s="75" t="s">
        <v>432</v>
      </c>
      <c r="B48" s="11" t="s">
        <v>331</v>
      </c>
      <c r="D48" s="13">
        <v>20</v>
      </c>
      <c r="E48" s="14">
        <v>0.26</v>
      </c>
      <c r="F48" s="26" t="e">
        <f>(E48/#REF!)*100</f>
        <v>#REF!</v>
      </c>
      <c r="G48" s="26">
        <f>(E48/D48)*100</f>
        <v>1.3</v>
      </c>
      <c r="H48"/>
      <c r="I48" s="589">
        <v>5</v>
      </c>
    </row>
    <row r="49" spans="1:9">
      <c r="A49" s="75"/>
      <c r="B49" s="11" t="s">
        <v>320</v>
      </c>
      <c r="D49" s="410"/>
      <c r="E49" s="418"/>
      <c r="F49" s="465"/>
      <c r="G49" s="465"/>
      <c r="H49"/>
      <c r="I49" s="589">
        <v>32</v>
      </c>
    </row>
    <row r="50" spans="1:9">
      <c r="A50" s="75"/>
      <c r="B50" s="17" t="s">
        <v>426</v>
      </c>
      <c r="D50" s="410"/>
      <c r="E50" s="418"/>
      <c r="F50" s="465"/>
      <c r="G50" s="465"/>
      <c r="H50"/>
      <c r="I50" s="589">
        <v>13</v>
      </c>
    </row>
    <row r="51" spans="1:9">
      <c r="B51" s="55"/>
      <c r="D51" s="39">
        <f>SUM(D48:D48)</f>
        <v>20</v>
      </c>
      <c r="E51" s="40">
        <f>SUM(E48:E48)</f>
        <v>0.26</v>
      </c>
      <c r="F51" s="39" t="e">
        <f>(E51/#REF!)*100</f>
        <v>#REF!</v>
      </c>
      <c r="G51" s="39">
        <f>(E51/D51)*100</f>
        <v>1.3</v>
      </c>
      <c r="H51"/>
      <c r="I51" s="590">
        <f>SUM(I48:I50)</f>
        <v>50</v>
      </c>
    </row>
    <row r="52" spans="1:9">
      <c r="B52" s="55"/>
      <c r="D52" s="42"/>
      <c r="E52" s="417"/>
      <c r="F52" s="42"/>
      <c r="G52" s="42"/>
      <c r="H52"/>
    </row>
    <row r="53" spans="1:9">
      <c r="A53" s="75" t="s">
        <v>313</v>
      </c>
      <c r="B53" s="49" t="s">
        <v>739</v>
      </c>
      <c r="D53" s="60"/>
      <c r="E53" s="51"/>
      <c r="F53" s="51"/>
      <c r="G53" s="413"/>
      <c r="H53"/>
    </row>
    <row r="54" spans="1:9">
      <c r="A54" s="81" t="s">
        <v>740</v>
      </c>
      <c r="B54" s="11" t="s">
        <v>331</v>
      </c>
      <c r="D54" s="13"/>
      <c r="E54" s="14"/>
      <c r="F54" s="34"/>
      <c r="G54" s="34"/>
      <c r="H54"/>
      <c r="I54" s="589">
        <v>15</v>
      </c>
    </row>
    <row r="55" spans="1:9">
      <c r="A55" s="81"/>
      <c r="B55" s="11" t="s">
        <v>345</v>
      </c>
      <c r="D55" s="13"/>
      <c r="E55" s="14"/>
      <c r="F55" s="34"/>
      <c r="G55" s="34"/>
      <c r="H55"/>
      <c r="I55" s="589">
        <v>5</v>
      </c>
    </row>
    <row r="56" spans="1:9">
      <c r="B56" s="11" t="s">
        <v>320</v>
      </c>
      <c r="D56" s="23"/>
      <c r="E56" s="34"/>
      <c r="F56" s="34"/>
      <c r="G56" s="34"/>
      <c r="H56"/>
      <c r="I56" s="589">
        <v>400</v>
      </c>
    </row>
    <row r="57" spans="1:9">
      <c r="B57" s="11" t="s">
        <v>426</v>
      </c>
      <c r="D57" s="13"/>
      <c r="E57" s="14"/>
      <c r="F57" s="34"/>
      <c r="G57" s="34"/>
      <c r="H57"/>
      <c r="I57" s="589">
        <v>10</v>
      </c>
    </row>
    <row r="58" spans="1:9">
      <c r="B58" s="11" t="s">
        <v>429</v>
      </c>
      <c r="D58" s="13"/>
      <c r="E58" s="14"/>
      <c r="F58" s="34"/>
      <c r="G58" s="34"/>
      <c r="H58"/>
      <c r="I58" s="589"/>
    </row>
    <row r="59" spans="1:9">
      <c r="B59" s="55"/>
      <c r="D59" s="39">
        <f>SUM(D54:D58)</f>
        <v>0</v>
      </c>
      <c r="E59" s="40">
        <f>SUM(E54:E58)</f>
        <v>0</v>
      </c>
      <c r="F59" s="39"/>
      <c r="G59" s="39"/>
      <c r="H59"/>
      <c r="I59" s="590">
        <f>SUM(I54:I58)</f>
        <v>430</v>
      </c>
    </row>
    <row r="60" spans="1:9">
      <c r="B60" s="55"/>
      <c r="D60" s="39"/>
      <c r="E60" s="40"/>
      <c r="F60" s="39"/>
      <c r="G60" s="39"/>
      <c r="H60"/>
      <c r="I60" s="524"/>
    </row>
    <row r="61" spans="1:9">
      <c r="A61" s="75" t="s">
        <v>313</v>
      </c>
      <c r="B61" s="49" t="s">
        <v>434</v>
      </c>
      <c r="D61" s="60"/>
      <c r="E61" s="51"/>
      <c r="F61" s="51"/>
      <c r="G61" s="413"/>
      <c r="H61"/>
      <c r="I61" s="524"/>
    </row>
    <row r="62" spans="1:9">
      <c r="A62" s="81" t="s">
        <v>554</v>
      </c>
      <c r="B62" s="17" t="s">
        <v>611</v>
      </c>
      <c r="D62" s="23"/>
      <c r="E62" s="34"/>
      <c r="F62" s="34"/>
      <c r="G62" s="34"/>
      <c r="H62"/>
      <c r="I62" s="589"/>
    </row>
    <row r="63" spans="1:9">
      <c r="A63" s="81"/>
      <c r="B63" s="11" t="s">
        <v>331</v>
      </c>
      <c r="D63" s="482"/>
      <c r="E63" s="419"/>
      <c r="F63" s="419"/>
      <c r="G63" s="419"/>
      <c r="H63"/>
      <c r="I63" s="589">
        <v>200</v>
      </c>
    </row>
    <row r="64" spans="1:9">
      <c r="A64" s="81"/>
      <c r="B64" s="17" t="s">
        <v>610</v>
      </c>
      <c r="D64" s="482"/>
      <c r="E64" s="419"/>
      <c r="F64" s="419"/>
      <c r="G64" s="419"/>
      <c r="H64"/>
      <c r="I64" s="589">
        <v>200</v>
      </c>
    </row>
    <row r="65" spans="1:9">
      <c r="A65" s="81"/>
      <c r="B65" s="11" t="s">
        <v>426</v>
      </c>
      <c r="D65" s="482"/>
      <c r="E65" s="419"/>
      <c r="F65" s="419"/>
      <c r="G65" s="419"/>
      <c r="H65"/>
      <c r="I65" s="589"/>
    </row>
    <row r="66" spans="1:9">
      <c r="B66" s="55"/>
      <c r="D66" s="39">
        <f>SUM(D62:D62)</f>
        <v>0</v>
      </c>
      <c r="E66" s="40">
        <f>SUM(E62:E62)</f>
        <v>0</v>
      </c>
      <c r="F66" s="39"/>
      <c r="G66" s="39"/>
      <c r="H66"/>
      <c r="I66" s="590">
        <f>SUM(I62:I65)</f>
        <v>400</v>
      </c>
    </row>
    <row r="67" spans="1:9">
      <c r="B67" s="55"/>
      <c r="D67" s="46"/>
      <c r="E67" s="56"/>
      <c r="F67" s="56"/>
      <c r="G67" s="56"/>
      <c r="H67"/>
      <c r="I67" s="524"/>
    </row>
    <row r="68" spans="1:9">
      <c r="A68" s="75" t="s">
        <v>313</v>
      </c>
      <c r="B68" s="49" t="s">
        <v>435</v>
      </c>
      <c r="D68" s="60"/>
      <c r="E68" s="51"/>
      <c r="F68" s="51"/>
      <c r="G68" s="413"/>
      <c r="H68"/>
    </row>
    <row r="69" spans="1:9">
      <c r="A69" s="81" t="s">
        <v>555</v>
      </c>
      <c r="B69" s="17" t="s">
        <v>638</v>
      </c>
      <c r="D69" s="23"/>
      <c r="E69" s="34"/>
      <c r="F69" s="34"/>
      <c r="G69" s="34"/>
      <c r="H69"/>
      <c r="I69" s="589">
        <v>70</v>
      </c>
    </row>
    <row r="70" spans="1:9">
      <c r="B70" s="55"/>
      <c r="D70" s="39">
        <f>SUM(D69:D69)</f>
        <v>0</v>
      </c>
      <c r="E70" s="40">
        <f>SUM(E69:E69)</f>
        <v>0</v>
      </c>
      <c r="F70" s="39"/>
      <c r="G70" s="39"/>
      <c r="H70"/>
      <c r="I70" s="590">
        <f>SUM(I69)</f>
        <v>70</v>
      </c>
    </row>
    <row r="71" spans="1:9">
      <c r="B71" s="55"/>
      <c r="D71" s="39"/>
      <c r="E71" s="40"/>
      <c r="F71" s="39"/>
      <c r="G71" s="39"/>
      <c r="H71"/>
    </row>
    <row r="72" spans="1:9">
      <c r="B72" s="18" t="s">
        <v>10</v>
      </c>
      <c r="D72" s="39"/>
      <c r="E72" s="40"/>
      <c r="F72" s="39"/>
      <c r="G72" s="39"/>
      <c r="H72"/>
      <c r="I72" s="590">
        <f>I70+I66+I59+I51+I45+I35</f>
        <v>4500</v>
      </c>
    </row>
    <row r="73" spans="1:9">
      <c r="B73" s="55"/>
      <c r="D73" s="39"/>
      <c r="E73" s="40"/>
      <c r="F73" s="39"/>
      <c r="G73" s="39"/>
      <c r="H73"/>
    </row>
    <row r="74" spans="1:9">
      <c r="B74" s="55"/>
      <c r="D74" s="39"/>
      <c r="E74" s="40"/>
      <c r="F74" s="39"/>
      <c r="G74" s="39"/>
      <c r="H74"/>
      <c r="I74" s="586"/>
    </row>
    <row r="75" spans="1:9">
      <c r="B75" s="55"/>
      <c r="D75" s="39"/>
      <c r="E75" s="40"/>
      <c r="F75" s="39"/>
      <c r="G75" s="39"/>
      <c r="H75"/>
      <c r="I75" s="586"/>
    </row>
    <row r="76" spans="1:9">
      <c r="B76" s="55"/>
      <c r="D76" s="39"/>
      <c r="E76" s="40"/>
      <c r="F76" s="39"/>
      <c r="G76" s="39"/>
      <c r="H76"/>
      <c r="I76" s="586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635" customWidth="1"/>
    <col min="10" max="10" width="2" customWidth="1"/>
    <col min="11" max="11" width="10.42578125" bestFit="1" customWidth="1"/>
    <col min="12" max="12" width="10.5703125" customWidth="1"/>
  </cols>
  <sheetData>
    <row r="1" spans="1:12" ht="15.75">
      <c r="B1" s="1"/>
      <c r="D1" s="387"/>
      <c r="E1" s="3"/>
      <c r="F1" s="3"/>
      <c r="G1" s="394"/>
      <c r="H1" s="394"/>
    </row>
    <row r="2" spans="1:12" ht="17.25" customHeight="1">
      <c r="A2" s="580" t="s">
        <v>673</v>
      </c>
      <c r="B2" s="4"/>
      <c r="D2" s="5"/>
      <c r="E2" s="6"/>
      <c r="F2" s="6"/>
      <c r="G2" s="395"/>
      <c r="H2" s="395"/>
    </row>
    <row r="3" spans="1:12" ht="17.25" customHeight="1">
      <c r="B3" s="4"/>
      <c r="D3" s="5"/>
      <c r="E3" s="6"/>
      <c r="F3" s="6"/>
      <c r="G3" s="395"/>
      <c r="H3" s="395"/>
    </row>
    <row r="4" spans="1:12" ht="46.5" customHeight="1">
      <c r="A4" s="75" t="s">
        <v>313</v>
      </c>
      <c r="B4" s="488" t="s">
        <v>742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  <c r="J4" s="175"/>
      <c r="K4" s="473"/>
      <c r="L4" s="467"/>
    </row>
    <row r="5" spans="1:12" ht="27" customHeight="1">
      <c r="A5" s="2" t="s">
        <v>741</v>
      </c>
      <c r="B5" s="11" t="s">
        <v>335</v>
      </c>
      <c r="D5" s="13">
        <v>200</v>
      </c>
      <c r="E5" s="14">
        <v>200</v>
      </c>
      <c r="F5" s="26"/>
      <c r="G5" s="26">
        <f>(E5/D5)*100</f>
        <v>100</v>
      </c>
      <c r="H5"/>
      <c r="I5" s="622">
        <v>200</v>
      </c>
    </row>
    <row r="6" spans="1:12" ht="13.5" customHeight="1">
      <c r="B6" s="18" t="s">
        <v>10</v>
      </c>
      <c r="D6" s="19">
        <f>SUM(D5)</f>
        <v>200</v>
      </c>
      <c r="E6" s="20">
        <f>SUM(E5)</f>
        <v>200</v>
      </c>
      <c r="F6" s="19"/>
      <c r="G6" s="19">
        <f>(E6/D6)*100</f>
        <v>100</v>
      </c>
      <c r="H6"/>
      <c r="I6" s="590">
        <f>SUM(I5)</f>
        <v>200</v>
      </c>
    </row>
    <row r="7" spans="1:12" ht="17.25" customHeight="1">
      <c r="B7" s="4"/>
      <c r="D7" s="5"/>
      <c r="E7" s="6"/>
      <c r="F7" s="6"/>
      <c r="G7" s="395"/>
      <c r="H7"/>
    </row>
    <row r="8" spans="1:12" ht="17.25" customHeight="1">
      <c r="B8" s="4"/>
      <c r="D8" s="5"/>
      <c r="E8" s="6"/>
      <c r="F8" s="6"/>
      <c r="G8" s="395"/>
      <c r="H8"/>
    </row>
    <row r="9" spans="1:12" ht="17.25" customHeight="1">
      <c r="B9" s="4"/>
      <c r="D9" s="5"/>
      <c r="E9" s="6"/>
      <c r="F9" s="6"/>
      <c r="G9" s="395"/>
      <c r="H9"/>
      <c r="I9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12" ht="15.75">
      <c r="B1" s="1"/>
      <c r="D1" s="387"/>
      <c r="E1" s="3"/>
      <c r="F1" s="3"/>
      <c r="G1" s="394"/>
      <c r="H1" s="394"/>
    </row>
    <row r="2" spans="1:12" ht="17.25" customHeight="1">
      <c r="A2" s="580" t="s">
        <v>673</v>
      </c>
      <c r="B2" s="4"/>
      <c r="D2" s="5"/>
      <c r="E2" s="6"/>
      <c r="F2" s="6"/>
      <c r="G2" s="395"/>
      <c r="H2" s="395"/>
    </row>
    <row r="3" spans="1:12" ht="17.25" customHeight="1">
      <c r="B3" s="4"/>
      <c r="D3" s="5"/>
      <c r="E3" s="6"/>
      <c r="F3" s="6"/>
      <c r="G3" s="395"/>
      <c r="H3" s="395"/>
    </row>
    <row r="4" spans="1:12" ht="46.5" customHeight="1">
      <c r="A4" s="75" t="s">
        <v>313</v>
      </c>
      <c r="B4" s="488" t="s">
        <v>684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  <c r="J4" s="175"/>
      <c r="K4" s="473"/>
      <c r="L4" s="467"/>
    </row>
    <row r="5" spans="1:12" ht="27" customHeight="1">
      <c r="A5" s="75" t="s">
        <v>437</v>
      </c>
      <c r="B5" s="399" t="s">
        <v>438</v>
      </c>
      <c r="D5" s="13">
        <v>200</v>
      </c>
      <c r="E5" s="14">
        <v>200</v>
      </c>
      <c r="F5" s="26"/>
      <c r="G5" s="26">
        <f>(E5/D5)*100</f>
        <v>100</v>
      </c>
      <c r="H5"/>
      <c r="I5" s="589">
        <v>200</v>
      </c>
    </row>
    <row r="6" spans="1:12" ht="13.5" customHeight="1">
      <c r="B6" s="18" t="s">
        <v>10</v>
      </c>
      <c r="D6" s="19">
        <f>SUM(D5)</f>
        <v>200</v>
      </c>
      <c r="E6" s="20">
        <f>SUM(E5)</f>
        <v>200</v>
      </c>
      <c r="F6" s="19"/>
      <c r="G6" s="19">
        <f>(E6/D6)*100</f>
        <v>100</v>
      </c>
      <c r="H6"/>
      <c r="I6" s="590">
        <f>SUM(I5)</f>
        <v>200</v>
      </c>
    </row>
    <row r="7" spans="1:12" ht="17.25" customHeight="1">
      <c r="B7" s="4"/>
      <c r="D7" s="5"/>
      <c r="E7" s="6"/>
      <c r="F7" s="6"/>
      <c r="G7" s="395"/>
      <c r="H7"/>
    </row>
    <row r="8" spans="1:12" ht="17.25" customHeight="1">
      <c r="B8" s="4"/>
      <c r="D8" s="5"/>
      <c r="E8" s="6"/>
      <c r="F8" s="6"/>
      <c r="G8" s="395"/>
      <c r="H8"/>
    </row>
    <row r="9" spans="1:12" ht="17.25" customHeight="1">
      <c r="B9" s="4"/>
      <c r="D9" s="5"/>
      <c r="E9" s="6"/>
      <c r="F9" s="6"/>
      <c r="G9" s="395"/>
      <c r="H9"/>
      <c r="I9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Normal="100" workbookViewId="0">
      <selection activeCell="A31" sqref="A31"/>
    </sheetView>
  </sheetViews>
  <sheetFormatPr defaultRowHeight="5.65" customHeight="1"/>
  <cols>
    <col min="1" max="1" width="51.28515625" style="99" customWidth="1"/>
    <col min="2" max="2" width="29.7109375" style="99" customWidth="1"/>
    <col min="3" max="3" width="19" style="99" customWidth="1"/>
    <col min="4" max="243" width="9.140625" style="99"/>
    <col min="244" max="244" width="9.140625" style="99" customWidth="1"/>
    <col min="245" max="245" width="27.140625" style="99" customWidth="1"/>
    <col min="246" max="252" width="9.140625" style="99" customWidth="1"/>
    <col min="253" max="253" width="11.140625" style="99" customWidth="1"/>
    <col min="254" max="254" width="15" style="99" customWidth="1"/>
    <col min="255" max="255" width="13.85546875" style="99" customWidth="1"/>
    <col min="256" max="256" width="12.28515625" style="99" customWidth="1"/>
    <col min="257" max="258" width="9.140625" style="99"/>
    <col min="259" max="259" width="19" style="99" customWidth="1"/>
    <col min="260" max="499" width="9.140625" style="99"/>
    <col min="500" max="500" width="9.140625" style="99" customWidth="1"/>
    <col min="501" max="501" width="27.140625" style="99" customWidth="1"/>
    <col min="502" max="508" width="9.140625" style="99" customWidth="1"/>
    <col min="509" max="509" width="11.140625" style="99" customWidth="1"/>
    <col min="510" max="510" width="15" style="99" customWidth="1"/>
    <col min="511" max="511" width="13.85546875" style="99" customWidth="1"/>
    <col min="512" max="512" width="12.28515625" style="99" customWidth="1"/>
    <col min="513" max="514" width="9.140625" style="99"/>
    <col min="515" max="515" width="19" style="99" customWidth="1"/>
    <col min="516" max="755" width="9.140625" style="99"/>
    <col min="756" max="756" width="9.140625" style="99" customWidth="1"/>
    <col min="757" max="757" width="27.140625" style="99" customWidth="1"/>
    <col min="758" max="764" width="9.140625" style="99" customWidth="1"/>
    <col min="765" max="765" width="11.140625" style="99" customWidth="1"/>
    <col min="766" max="766" width="15" style="99" customWidth="1"/>
    <col min="767" max="767" width="13.85546875" style="99" customWidth="1"/>
    <col min="768" max="768" width="12.28515625" style="99" customWidth="1"/>
    <col min="769" max="770" width="9.140625" style="99"/>
    <col min="771" max="771" width="19" style="99" customWidth="1"/>
    <col min="772" max="1011" width="9.140625" style="99"/>
    <col min="1012" max="1012" width="9.140625" style="99" customWidth="1"/>
    <col min="1013" max="1013" width="27.140625" style="99" customWidth="1"/>
    <col min="1014" max="1020" width="9.140625" style="99" customWidth="1"/>
    <col min="1021" max="1021" width="11.140625" style="99" customWidth="1"/>
    <col min="1022" max="1022" width="15" style="99" customWidth="1"/>
    <col min="1023" max="1023" width="13.85546875" style="99" customWidth="1"/>
    <col min="1024" max="1024" width="12.28515625" style="99" customWidth="1"/>
    <col min="1025" max="1026" width="9.140625" style="99"/>
    <col min="1027" max="1027" width="19" style="99" customWidth="1"/>
    <col min="1028" max="1267" width="9.140625" style="99"/>
    <col min="1268" max="1268" width="9.140625" style="99" customWidth="1"/>
    <col min="1269" max="1269" width="27.140625" style="99" customWidth="1"/>
    <col min="1270" max="1276" width="9.140625" style="99" customWidth="1"/>
    <col min="1277" max="1277" width="11.140625" style="99" customWidth="1"/>
    <col min="1278" max="1278" width="15" style="99" customWidth="1"/>
    <col min="1279" max="1279" width="13.85546875" style="99" customWidth="1"/>
    <col min="1280" max="1280" width="12.28515625" style="99" customWidth="1"/>
    <col min="1281" max="1282" width="9.140625" style="99"/>
    <col min="1283" max="1283" width="19" style="99" customWidth="1"/>
    <col min="1284" max="1523" width="9.140625" style="99"/>
    <col min="1524" max="1524" width="9.140625" style="99" customWidth="1"/>
    <col min="1525" max="1525" width="27.140625" style="99" customWidth="1"/>
    <col min="1526" max="1532" width="9.140625" style="99" customWidth="1"/>
    <col min="1533" max="1533" width="11.140625" style="99" customWidth="1"/>
    <col min="1534" max="1534" width="15" style="99" customWidth="1"/>
    <col min="1535" max="1535" width="13.85546875" style="99" customWidth="1"/>
    <col min="1536" max="1536" width="12.28515625" style="99" customWidth="1"/>
    <col min="1537" max="1538" width="9.140625" style="99"/>
    <col min="1539" max="1539" width="19" style="99" customWidth="1"/>
    <col min="1540" max="1779" width="9.140625" style="99"/>
    <col min="1780" max="1780" width="9.140625" style="99" customWidth="1"/>
    <col min="1781" max="1781" width="27.140625" style="99" customWidth="1"/>
    <col min="1782" max="1788" width="9.140625" style="99" customWidth="1"/>
    <col min="1789" max="1789" width="11.140625" style="99" customWidth="1"/>
    <col min="1790" max="1790" width="15" style="99" customWidth="1"/>
    <col min="1791" max="1791" width="13.85546875" style="99" customWidth="1"/>
    <col min="1792" max="1792" width="12.28515625" style="99" customWidth="1"/>
    <col min="1793" max="1794" width="9.140625" style="99"/>
    <col min="1795" max="1795" width="19" style="99" customWidth="1"/>
    <col min="1796" max="2035" width="9.140625" style="99"/>
    <col min="2036" max="2036" width="9.140625" style="99" customWidth="1"/>
    <col min="2037" max="2037" width="27.140625" style="99" customWidth="1"/>
    <col min="2038" max="2044" width="9.140625" style="99" customWidth="1"/>
    <col min="2045" max="2045" width="11.140625" style="99" customWidth="1"/>
    <col min="2046" max="2046" width="15" style="99" customWidth="1"/>
    <col min="2047" max="2047" width="13.85546875" style="99" customWidth="1"/>
    <col min="2048" max="2048" width="12.28515625" style="99" customWidth="1"/>
    <col min="2049" max="2050" width="9.140625" style="99"/>
    <col min="2051" max="2051" width="19" style="99" customWidth="1"/>
    <col min="2052" max="2291" width="9.140625" style="99"/>
    <col min="2292" max="2292" width="9.140625" style="99" customWidth="1"/>
    <col min="2293" max="2293" width="27.140625" style="99" customWidth="1"/>
    <col min="2294" max="2300" width="9.140625" style="99" customWidth="1"/>
    <col min="2301" max="2301" width="11.140625" style="99" customWidth="1"/>
    <col min="2302" max="2302" width="15" style="99" customWidth="1"/>
    <col min="2303" max="2303" width="13.85546875" style="99" customWidth="1"/>
    <col min="2304" max="2304" width="12.28515625" style="99" customWidth="1"/>
    <col min="2305" max="2306" width="9.140625" style="99"/>
    <col min="2307" max="2307" width="19" style="99" customWidth="1"/>
    <col min="2308" max="2547" width="9.140625" style="99"/>
    <col min="2548" max="2548" width="9.140625" style="99" customWidth="1"/>
    <col min="2549" max="2549" width="27.140625" style="99" customWidth="1"/>
    <col min="2550" max="2556" width="9.140625" style="99" customWidth="1"/>
    <col min="2557" max="2557" width="11.140625" style="99" customWidth="1"/>
    <col min="2558" max="2558" width="15" style="99" customWidth="1"/>
    <col min="2559" max="2559" width="13.85546875" style="99" customWidth="1"/>
    <col min="2560" max="2560" width="12.28515625" style="99" customWidth="1"/>
    <col min="2561" max="2562" width="9.140625" style="99"/>
    <col min="2563" max="2563" width="19" style="99" customWidth="1"/>
    <col min="2564" max="2803" width="9.140625" style="99"/>
    <col min="2804" max="2804" width="9.140625" style="99" customWidth="1"/>
    <col min="2805" max="2805" width="27.140625" style="99" customWidth="1"/>
    <col min="2806" max="2812" width="9.140625" style="99" customWidth="1"/>
    <col min="2813" max="2813" width="11.140625" style="99" customWidth="1"/>
    <col min="2814" max="2814" width="15" style="99" customWidth="1"/>
    <col min="2815" max="2815" width="13.85546875" style="99" customWidth="1"/>
    <col min="2816" max="2816" width="12.28515625" style="99" customWidth="1"/>
    <col min="2817" max="2818" width="9.140625" style="99"/>
    <col min="2819" max="2819" width="19" style="99" customWidth="1"/>
    <col min="2820" max="3059" width="9.140625" style="99"/>
    <col min="3060" max="3060" width="9.140625" style="99" customWidth="1"/>
    <col min="3061" max="3061" width="27.140625" style="99" customWidth="1"/>
    <col min="3062" max="3068" width="9.140625" style="99" customWidth="1"/>
    <col min="3069" max="3069" width="11.140625" style="99" customWidth="1"/>
    <col min="3070" max="3070" width="15" style="99" customWidth="1"/>
    <col min="3071" max="3071" width="13.85546875" style="99" customWidth="1"/>
    <col min="3072" max="3072" width="12.28515625" style="99" customWidth="1"/>
    <col min="3073" max="3074" width="9.140625" style="99"/>
    <col min="3075" max="3075" width="19" style="99" customWidth="1"/>
    <col min="3076" max="3315" width="9.140625" style="99"/>
    <col min="3316" max="3316" width="9.140625" style="99" customWidth="1"/>
    <col min="3317" max="3317" width="27.140625" style="99" customWidth="1"/>
    <col min="3318" max="3324" width="9.140625" style="99" customWidth="1"/>
    <col min="3325" max="3325" width="11.140625" style="99" customWidth="1"/>
    <col min="3326" max="3326" width="15" style="99" customWidth="1"/>
    <col min="3327" max="3327" width="13.85546875" style="99" customWidth="1"/>
    <col min="3328" max="3328" width="12.28515625" style="99" customWidth="1"/>
    <col min="3329" max="3330" width="9.140625" style="99"/>
    <col min="3331" max="3331" width="19" style="99" customWidth="1"/>
    <col min="3332" max="3571" width="9.140625" style="99"/>
    <col min="3572" max="3572" width="9.140625" style="99" customWidth="1"/>
    <col min="3573" max="3573" width="27.140625" style="99" customWidth="1"/>
    <col min="3574" max="3580" width="9.140625" style="99" customWidth="1"/>
    <col min="3581" max="3581" width="11.140625" style="99" customWidth="1"/>
    <col min="3582" max="3582" width="15" style="99" customWidth="1"/>
    <col min="3583" max="3583" width="13.85546875" style="99" customWidth="1"/>
    <col min="3584" max="3584" width="12.28515625" style="99" customWidth="1"/>
    <col min="3585" max="3586" width="9.140625" style="99"/>
    <col min="3587" max="3587" width="19" style="99" customWidth="1"/>
    <col min="3588" max="3827" width="9.140625" style="99"/>
    <col min="3828" max="3828" width="9.140625" style="99" customWidth="1"/>
    <col min="3829" max="3829" width="27.140625" style="99" customWidth="1"/>
    <col min="3830" max="3836" width="9.140625" style="99" customWidth="1"/>
    <col min="3837" max="3837" width="11.140625" style="99" customWidth="1"/>
    <col min="3838" max="3838" width="15" style="99" customWidth="1"/>
    <col min="3839" max="3839" width="13.85546875" style="99" customWidth="1"/>
    <col min="3840" max="3840" width="12.28515625" style="99" customWidth="1"/>
    <col min="3841" max="3842" width="9.140625" style="99"/>
    <col min="3843" max="3843" width="19" style="99" customWidth="1"/>
    <col min="3844" max="4083" width="9.140625" style="99"/>
    <col min="4084" max="4084" width="9.140625" style="99" customWidth="1"/>
    <col min="4085" max="4085" width="27.140625" style="99" customWidth="1"/>
    <col min="4086" max="4092" width="9.140625" style="99" customWidth="1"/>
    <col min="4093" max="4093" width="11.140625" style="99" customWidth="1"/>
    <col min="4094" max="4094" width="15" style="99" customWidth="1"/>
    <col min="4095" max="4095" width="13.85546875" style="99" customWidth="1"/>
    <col min="4096" max="4096" width="12.28515625" style="99" customWidth="1"/>
    <col min="4097" max="4098" width="9.140625" style="99"/>
    <col min="4099" max="4099" width="19" style="99" customWidth="1"/>
    <col min="4100" max="4339" width="9.140625" style="99"/>
    <col min="4340" max="4340" width="9.140625" style="99" customWidth="1"/>
    <col min="4341" max="4341" width="27.140625" style="99" customWidth="1"/>
    <col min="4342" max="4348" width="9.140625" style="99" customWidth="1"/>
    <col min="4349" max="4349" width="11.140625" style="99" customWidth="1"/>
    <col min="4350" max="4350" width="15" style="99" customWidth="1"/>
    <col min="4351" max="4351" width="13.85546875" style="99" customWidth="1"/>
    <col min="4352" max="4352" width="12.28515625" style="99" customWidth="1"/>
    <col min="4353" max="4354" width="9.140625" style="99"/>
    <col min="4355" max="4355" width="19" style="99" customWidth="1"/>
    <col min="4356" max="4595" width="9.140625" style="99"/>
    <col min="4596" max="4596" width="9.140625" style="99" customWidth="1"/>
    <col min="4597" max="4597" width="27.140625" style="99" customWidth="1"/>
    <col min="4598" max="4604" width="9.140625" style="99" customWidth="1"/>
    <col min="4605" max="4605" width="11.140625" style="99" customWidth="1"/>
    <col min="4606" max="4606" width="15" style="99" customWidth="1"/>
    <col min="4607" max="4607" width="13.85546875" style="99" customWidth="1"/>
    <col min="4608" max="4608" width="12.28515625" style="99" customWidth="1"/>
    <col min="4609" max="4610" width="9.140625" style="99"/>
    <col min="4611" max="4611" width="19" style="99" customWidth="1"/>
    <col min="4612" max="4851" width="9.140625" style="99"/>
    <col min="4852" max="4852" width="9.140625" style="99" customWidth="1"/>
    <col min="4853" max="4853" width="27.140625" style="99" customWidth="1"/>
    <col min="4854" max="4860" width="9.140625" style="99" customWidth="1"/>
    <col min="4861" max="4861" width="11.140625" style="99" customWidth="1"/>
    <col min="4862" max="4862" width="15" style="99" customWidth="1"/>
    <col min="4863" max="4863" width="13.85546875" style="99" customWidth="1"/>
    <col min="4864" max="4864" width="12.28515625" style="99" customWidth="1"/>
    <col min="4865" max="4866" width="9.140625" style="99"/>
    <col min="4867" max="4867" width="19" style="99" customWidth="1"/>
    <col min="4868" max="5107" width="9.140625" style="99"/>
    <col min="5108" max="5108" width="9.140625" style="99" customWidth="1"/>
    <col min="5109" max="5109" width="27.140625" style="99" customWidth="1"/>
    <col min="5110" max="5116" width="9.140625" style="99" customWidth="1"/>
    <col min="5117" max="5117" width="11.140625" style="99" customWidth="1"/>
    <col min="5118" max="5118" width="15" style="99" customWidth="1"/>
    <col min="5119" max="5119" width="13.85546875" style="99" customWidth="1"/>
    <col min="5120" max="5120" width="12.28515625" style="99" customWidth="1"/>
    <col min="5121" max="5122" width="9.140625" style="99"/>
    <col min="5123" max="5123" width="19" style="99" customWidth="1"/>
    <col min="5124" max="5363" width="9.140625" style="99"/>
    <col min="5364" max="5364" width="9.140625" style="99" customWidth="1"/>
    <col min="5365" max="5365" width="27.140625" style="99" customWidth="1"/>
    <col min="5366" max="5372" width="9.140625" style="99" customWidth="1"/>
    <col min="5373" max="5373" width="11.140625" style="99" customWidth="1"/>
    <col min="5374" max="5374" width="15" style="99" customWidth="1"/>
    <col min="5375" max="5375" width="13.85546875" style="99" customWidth="1"/>
    <col min="5376" max="5376" width="12.28515625" style="99" customWidth="1"/>
    <col min="5377" max="5378" width="9.140625" style="99"/>
    <col min="5379" max="5379" width="19" style="99" customWidth="1"/>
    <col min="5380" max="5619" width="9.140625" style="99"/>
    <col min="5620" max="5620" width="9.140625" style="99" customWidth="1"/>
    <col min="5621" max="5621" width="27.140625" style="99" customWidth="1"/>
    <col min="5622" max="5628" width="9.140625" style="99" customWidth="1"/>
    <col min="5629" max="5629" width="11.140625" style="99" customWidth="1"/>
    <col min="5630" max="5630" width="15" style="99" customWidth="1"/>
    <col min="5631" max="5631" width="13.85546875" style="99" customWidth="1"/>
    <col min="5632" max="5632" width="12.28515625" style="99" customWidth="1"/>
    <col min="5633" max="5634" width="9.140625" style="99"/>
    <col min="5635" max="5635" width="19" style="99" customWidth="1"/>
    <col min="5636" max="5875" width="9.140625" style="99"/>
    <col min="5876" max="5876" width="9.140625" style="99" customWidth="1"/>
    <col min="5877" max="5877" width="27.140625" style="99" customWidth="1"/>
    <col min="5878" max="5884" width="9.140625" style="99" customWidth="1"/>
    <col min="5885" max="5885" width="11.140625" style="99" customWidth="1"/>
    <col min="5886" max="5886" width="15" style="99" customWidth="1"/>
    <col min="5887" max="5887" width="13.85546875" style="99" customWidth="1"/>
    <col min="5888" max="5888" width="12.28515625" style="99" customWidth="1"/>
    <col min="5889" max="5890" width="9.140625" style="99"/>
    <col min="5891" max="5891" width="19" style="99" customWidth="1"/>
    <col min="5892" max="6131" width="9.140625" style="99"/>
    <col min="6132" max="6132" width="9.140625" style="99" customWidth="1"/>
    <col min="6133" max="6133" width="27.140625" style="99" customWidth="1"/>
    <col min="6134" max="6140" width="9.140625" style="99" customWidth="1"/>
    <col min="6141" max="6141" width="11.140625" style="99" customWidth="1"/>
    <col min="6142" max="6142" width="15" style="99" customWidth="1"/>
    <col min="6143" max="6143" width="13.85546875" style="99" customWidth="1"/>
    <col min="6144" max="6144" width="12.28515625" style="99" customWidth="1"/>
    <col min="6145" max="6146" width="9.140625" style="99"/>
    <col min="6147" max="6147" width="19" style="99" customWidth="1"/>
    <col min="6148" max="6387" width="9.140625" style="99"/>
    <col min="6388" max="6388" width="9.140625" style="99" customWidth="1"/>
    <col min="6389" max="6389" width="27.140625" style="99" customWidth="1"/>
    <col min="6390" max="6396" width="9.140625" style="99" customWidth="1"/>
    <col min="6397" max="6397" width="11.140625" style="99" customWidth="1"/>
    <col min="6398" max="6398" width="15" style="99" customWidth="1"/>
    <col min="6399" max="6399" width="13.85546875" style="99" customWidth="1"/>
    <col min="6400" max="6400" width="12.28515625" style="99" customWidth="1"/>
    <col min="6401" max="6402" width="9.140625" style="99"/>
    <col min="6403" max="6403" width="19" style="99" customWidth="1"/>
    <col min="6404" max="6643" width="9.140625" style="99"/>
    <col min="6644" max="6644" width="9.140625" style="99" customWidth="1"/>
    <col min="6645" max="6645" width="27.140625" style="99" customWidth="1"/>
    <col min="6646" max="6652" width="9.140625" style="99" customWidth="1"/>
    <col min="6653" max="6653" width="11.140625" style="99" customWidth="1"/>
    <col min="6654" max="6654" width="15" style="99" customWidth="1"/>
    <col min="6655" max="6655" width="13.85546875" style="99" customWidth="1"/>
    <col min="6656" max="6656" width="12.28515625" style="99" customWidth="1"/>
    <col min="6657" max="6658" width="9.140625" style="99"/>
    <col min="6659" max="6659" width="19" style="99" customWidth="1"/>
    <col min="6660" max="6899" width="9.140625" style="99"/>
    <col min="6900" max="6900" width="9.140625" style="99" customWidth="1"/>
    <col min="6901" max="6901" width="27.140625" style="99" customWidth="1"/>
    <col min="6902" max="6908" width="9.140625" style="99" customWidth="1"/>
    <col min="6909" max="6909" width="11.140625" style="99" customWidth="1"/>
    <col min="6910" max="6910" width="15" style="99" customWidth="1"/>
    <col min="6911" max="6911" width="13.85546875" style="99" customWidth="1"/>
    <col min="6912" max="6912" width="12.28515625" style="99" customWidth="1"/>
    <col min="6913" max="6914" width="9.140625" style="99"/>
    <col min="6915" max="6915" width="19" style="99" customWidth="1"/>
    <col min="6916" max="7155" width="9.140625" style="99"/>
    <col min="7156" max="7156" width="9.140625" style="99" customWidth="1"/>
    <col min="7157" max="7157" width="27.140625" style="99" customWidth="1"/>
    <col min="7158" max="7164" width="9.140625" style="99" customWidth="1"/>
    <col min="7165" max="7165" width="11.140625" style="99" customWidth="1"/>
    <col min="7166" max="7166" width="15" style="99" customWidth="1"/>
    <col min="7167" max="7167" width="13.85546875" style="99" customWidth="1"/>
    <col min="7168" max="7168" width="12.28515625" style="99" customWidth="1"/>
    <col min="7169" max="7170" width="9.140625" style="99"/>
    <col min="7171" max="7171" width="19" style="99" customWidth="1"/>
    <col min="7172" max="7411" width="9.140625" style="99"/>
    <col min="7412" max="7412" width="9.140625" style="99" customWidth="1"/>
    <col min="7413" max="7413" width="27.140625" style="99" customWidth="1"/>
    <col min="7414" max="7420" width="9.140625" style="99" customWidth="1"/>
    <col min="7421" max="7421" width="11.140625" style="99" customWidth="1"/>
    <col min="7422" max="7422" width="15" style="99" customWidth="1"/>
    <col min="7423" max="7423" width="13.85546875" style="99" customWidth="1"/>
    <col min="7424" max="7424" width="12.28515625" style="99" customWidth="1"/>
    <col min="7425" max="7426" width="9.140625" style="99"/>
    <col min="7427" max="7427" width="19" style="99" customWidth="1"/>
    <col min="7428" max="7667" width="9.140625" style="99"/>
    <col min="7668" max="7668" width="9.140625" style="99" customWidth="1"/>
    <col min="7669" max="7669" width="27.140625" style="99" customWidth="1"/>
    <col min="7670" max="7676" width="9.140625" style="99" customWidth="1"/>
    <col min="7677" max="7677" width="11.140625" style="99" customWidth="1"/>
    <col min="7678" max="7678" width="15" style="99" customWidth="1"/>
    <col min="7679" max="7679" width="13.85546875" style="99" customWidth="1"/>
    <col min="7680" max="7680" width="12.28515625" style="99" customWidth="1"/>
    <col min="7681" max="7682" width="9.140625" style="99"/>
    <col min="7683" max="7683" width="19" style="99" customWidth="1"/>
    <col min="7684" max="7923" width="9.140625" style="99"/>
    <col min="7924" max="7924" width="9.140625" style="99" customWidth="1"/>
    <col min="7925" max="7925" width="27.140625" style="99" customWidth="1"/>
    <col min="7926" max="7932" width="9.140625" style="99" customWidth="1"/>
    <col min="7933" max="7933" width="11.140625" style="99" customWidth="1"/>
    <col min="7934" max="7934" width="15" style="99" customWidth="1"/>
    <col min="7935" max="7935" width="13.85546875" style="99" customWidth="1"/>
    <col min="7936" max="7936" width="12.28515625" style="99" customWidth="1"/>
    <col min="7937" max="7938" width="9.140625" style="99"/>
    <col min="7939" max="7939" width="19" style="99" customWidth="1"/>
    <col min="7940" max="8179" width="9.140625" style="99"/>
    <col min="8180" max="8180" width="9.140625" style="99" customWidth="1"/>
    <col min="8181" max="8181" width="27.140625" style="99" customWidth="1"/>
    <col min="8182" max="8188" width="9.140625" style="99" customWidth="1"/>
    <col min="8189" max="8189" width="11.140625" style="99" customWidth="1"/>
    <col min="8190" max="8190" width="15" style="99" customWidth="1"/>
    <col min="8191" max="8191" width="13.85546875" style="99" customWidth="1"/>
    <col min="8192" max="8192" width="12.28515625" style="99" customWidth="1"/>
    <col min="8193" max="8194" width="9.140625" style="99"/>
    <col min="8195" max="8195" width="19" style="99" customWidth="1"/>
    <col min="8196" max="8435" width="9.140625" style="99"/>
    <col min="8436" max="8436" width="9.140625" style="99" customWidth="1"/>
    <col min="8437" max="8437" width="27.140625" style="99" customWidth="1"/>
    <col min="8438" max="8444" width="9.140625" style="99" customWidth="1"/>
    <col min="8445" max="8445" width="11.140625" style="99" customWidth="1"/>
    <col min="8446" max="8446" width="15" style="99" customWidth="1"/>
    <col min="8447" max="8447" width="13.85546875" style="99" customWidth="1"/>
    <col min="8448" max="8448" width="12.28515625" style="99" customWidth="1"/>
    <col min="8449" max="8450" width="9.140625" style="99"/>
    <col min="8451" max="8451" width="19" style="99" customWidth="1"/>
    <col min="8452" max="8691" width="9.140625" style="99"/>
    <col min="8692" max="8692" width="9.140625" style="99" customWidth="1"/>
    <col min="8693" max="8693" width="27.140625" style="99" customWidth="1"/>
    <col min="8694" max="8700" width="9.140625" style="99" customWidth="1"/>
    <col min="8701" max="8701" width="11.140625" style="99" customWidth="1"/>
    <col min="8702" max="8702" width="15" style="99" customWidth="1"/>
    <col min="8703" max="8703" width="13.85546875" style="99" customWidth="1"/>
    <col min="8704" max="8704" width="12.28515625" style="99" customWidth="1"/>
    <col min="8705" max="8706" width="9.140625" style="99"/>
    <col min="8707" max="8707" width="19" style="99" customWidth="1"/>
    <col min="8708" max="8947" width="9.140625" style="99"/>
    <col min="8948" max="8948" width="9.140625" style="99" customWidth="1"/>
    <col min="8949" max="8949" width="27.140625" style="99" customWidth="1"/>
    <col min="8950" max="8956" width="9.140625" style="99" customWidth="1"/>
    <col min="8957" max="8957" width="11.140625" style="99" customWidth="1"/>
    <col min="8958" max="8958" width="15" style="99" customWidth="1"/>
    <col min="8959" max="8959" width="13.85546875" style="99" customWidth="1"/>
    <col min="8960" max="8960" width="12.28515625" style="99" customWidth="1"/>
    <col min="8961" max="8962" width="9.140625" style="99"/>
    <col min="8963" max="8963" width="19" style="99" customWidth="1"/>
    <col min="8964" max="9203" width="9.140625" style="99"/>
    <col min="9204" max="9204" width="9.140625" style="99" customWidth="1"/>
    <col min="9205" max="9205" width="27.140625" style="99" customWidth="1"/>
    <col min="9206" max="9212" width="9.140625" style="99" customWidth="1"/>
    <col min="9213" max="9213" width="11.140625" style="99" customWidth="1"/>
    <col min="9214" max="9214" width="15" style="99" customWidth="1"/>
    <col min="9215" max="9215" width="13.85546875" style="99" customWidth="1"/>
    <col min="9216" max="9216" width="12.28515625" style="99" customWidth="1"/>
    <col min="9217" max="9218" width="9.140625" style="99"/>
    <col min="9219" max="9219" width="19" style="99" customWidth="1"/>
    <col min="9220" max="9459" width="9.140625" style="99"/>
    <col min="9460" max="9460" width="9.140625" style="99" customWidth="1"/>
    <col min="9461" max="9461" width="27.140625" style="99" customWidth="1"/>
    <col min="9462" max="9468" width="9.140625" style="99" customWidth="1"/>
    <col min="9469" max="9469" width="11.140625" style="99" customWidth="1"/>
    <col min="9470" max="9470" width="15" style="99" customWidth="1"/>
    <col min="9471" max="9471" width="13.85546875" style="99" customWidth="1"/>
    <col min="9472" max="9472" width="12.28515625" style="99" customWidth="1"/>
    <col min="9473" max="9474" width="9.140625" style="99"/>
    <col min="9475" max="9475" width="19" style="99" customWidth="1"/>
    <col min="9476" max="9715" width="9.140625" style="99"/>
    <col min="9716" max="9716" width="9.140625" style="99" customWidth="1"/>
    <col min="9717" max="9717" width="27.140625" style="99" customWidth="1"/>
    <col min="9718" max="9724" width="9.140625" style="99" customWidth="1"/>
    <col min="9725" max="9725" width="11.140625" style="99" customWidth="1"/>
    <col min="9726" max="9726" width="15" style="99" customWidth="1"/>
    <col min="9727" max="9727" width="13.85546875" style="99" customWidth="1"/>
    <col min="9728" max="9728" width="12.28515625" style="99" customWidth="1"/>
    <col min="9729" max="9730" width="9.140625" style="99"/>
    <col min="9731" max="9731" width="19" style="99" customWidth="1"/>
    <col min="9732" max="9971" width="9.140625" style="99"/>
    <col min="9972" max="9972" width="9.140625" style="99" customWidth="1"/>
    <col min="9973" max="9973" width="27.140625" style="99" customWidth="1"/>
    <col min="9974" max="9980" width="9.140625" style="99" customWidth="1"/>
    <col min="9981" max="9981" width="11.140625" style="99" customWidth="1"/>
    <col min="9982" max="9982" width="15" style="99" customWidth="1"/>
    <col min="9983" max="9983" width="13.85546875" style="99" customWidth="1"/>
    <col min="9984" max="9984" width="12.28515625" style="99" customWidth="1"/>
    <col min="9985" max="9986" width="9.140625" style="99"/>
    <col min="9987" max="9987" width="19" style="99" customWidth="1"/>
    <col min="9988" max="10227" width="9.140625" style="99"/>
    <col min="10228" max="10228" width="9.140625" style="99" customWidth="1"/>
    <col min="10229" max="10229" width="27.140625" style="99" customWidth="1"/>
    <col min="10230" max="10236" width="9.140625" style="99" customWidth="1"/>
    <col min="10237" max="10237" width="11.140625" style="99" customWidth="1"/>
    <col min="10238" max="10238" width="15" style="99" customWidth="1"/>
    <col min="10239" max="10239" width="13.85546875" style="99" customWidth="1"/>
    <col min="10240" max="10240" width="12.28515625" style="99" customWidth="1"/>
    <col min="10241" max="10242" width="9.140625" style="99"/>
    <col min="10243" max="10243" width="19" style="99" customWidth="1"/>
    <col min="10244" max="10483" width="9.140625" style="99"/>
    <col min="10484" max="10484" width="9.140625" style="99" customWidth="1"/>
    <col min="10485" max="10485" width="27.140625" style="99" customWidth="1"/>
    <col min="10486" max="10492" width="9.140625" style="99" customWidth="1"/>
    <col min="10493" max="10493" width="11.140625" style="99" customWidth="1"/>
    <col min="10494" max="10494" width="15" style="99" customWidth="1"/>
    <col min="10495" max="10495" width="13.85546875" style="99" customWidth="1"/>
    <col min="10496" max="10496" width="12.28515625" style="99" customWidth="1"/>
    <col min="10497" max="10498" width="9.140625" style="99"/>
    <col min="10499" max="10499" width="19" style="99" customWidth="1"/>
    <col min="10500" max="10739" width="9.140625" style="99"/>
    <col min="10740" max="10740" width="9.140625" style="99" customWidth="1"/>
    <col min="10741" max="10741" width="27.140625" style="99" customWidth="1"/>
    <col min="10742" max="10748" width="9.140625" style="99" customWidth="1"/>
    <col min="10749" max="10749" width="11.140625" style="99" customWidth="1"/>
    <col min="10750" max="10750" width="15" style="99" customWidth="1"/>
    <col min="10751" max="10751" width="13.85546875" style="99" customWidth="1"/>
    <col min="10752" max="10752" width="12.28515625" style="99" customWidth="1"/>
    <col min="10753" max="10754" width="9.140625" style="99"/>
    <col min="10755" max="10755" width="19" style="99" customWidth="1"/>
    <col min="10756" max="10995" width="9.140625" style="99"/>
    <col min="10996" max="10996" width="9.140625" style="99" customWidth="1"/>
    <col min="10997" max="10997" width="27.140625" style="99" customWidth="1"/>
    <col min="10998" max="11004" width="9.140625" style="99" customWidth="1"/>
    <col min="11005" max="11005" width="11.140625" style="99" customWidth="1"/>
    <col min="11006" max="11006" width="15" style="99" customWidth="1"/>
    <col min="11007" max="11007" width="13.85546875" style="99" customWidth="1"/>
    <col min="11008" max="11008" width="12.28515625" style="99" customWidth="1"/>
    <col min="11009" max="11010" width="9.140625" style="99"/>
    <col min="11011" max="11011" width="19" style="99" customWidth="1"/>
    <col min="11012" max="11251" width="9.140625" style="99"/>
    <col min="11252" max="11252" width="9.140625" style="99" customWidth="1"/>
    <col min="11253" max="11253" width="27.140625" style="99" customWidth="1"/>
    <col min="11254" max="11260" width="9.140625" style="99" customWidth="1"/>
    <col min="11261" max="11261" width="11.140625" style="99" customWidth="1"/>
    <col min="11262" max="11262" width="15" style="99" customWidth="1"/>
    <col min="11263" max="11263" width="13.85546875" style="99" customWidth="1"/>
    <col min="11264" max="11264" width="12.28515625" style="99" customWidth="1"/>
    <col min="11265" max="11266" width="9.140625" style="99"/>
    <col min="11267" max="11267" width="19" style="99" customWidth="1"/>
    <col min="11268" max="11507" width="9.140625" style="99"/>
    <col min="11508" max="11508" width="9.140625" style="99" customWidth="1"/>
    <col min="11509" max="11509" width="27.140625" style="99" customWidth="1"/>
    <col min="11510" max="11516" width="9.140625" style="99" customWidth="1"/>
    <col min="11517" max="11517" width="11.140625" style="99" customWidth="1"/>
    <col min="11518" max="11518" width="15" style="99" customWidth="1"/>
    <col min="11519" max="11519" width="13.85546875" style="99" customWidth="1"/>
    <col min="11520" max="11520" width="12.28515625" style="99" customWidth="1"/>
    <col min="11521" max="11522" width="9.140625" style="99"/>
    <col min="11523" max="11523" width="19" style="99" customWidth="1"/>
    <col min="11524" max="11763" width="9.140625" style="99"/>
    <col min="11764" max="11764" width="9.140625" style="99" customWidth="1"/>
    <col min="11765" max="11765" width="27.140625" style="99" customWidth="1"/>
    <col min="11766" max="11772" width="9.140625" style="99" customWidth="1"/>
    <col min="11773" max="11773" width="11.140625" style="99" customWidth="1"/>
    <col min="11774" max="11774" width="15" style="99" customWidth="1"/>
    <col min="11775" max="11775" width="13.85546875" style="99" customWidth="1"/>
    <col min="11776" max="11776" width="12.28515625" style="99" customWidth="1"/>
    <col min="11777" max="11778" width="9.140625" style="99"/>
    <col min="11779" max="11779" width="19" style="99" customWidth="1"/>
    <col min="11780" max="12019" width="9.140625" style="99"/>
    <col min="12020" max="12020" width="9.140625" style="99" customWidth="1"/>
    <col min="12021" max="12021" width="27.140625" style="99" customWidth="1"/>
    <col min="12022" max="12028" width="9.140625" style="99" customWidth="1"/>
    <col min="12029" max="12029" width="11.140625" style="99" customWidth="1"/>
    <col min="12030" max="12030" width="15" style="99" customWidth="1"/>
    <col min="12031" max="12031" width="13.85546875" style="99" customWidth="1"/>
    <col min="12032" max="12032" width="12.28515625" style="99" customWidth="1"/>
    <col min="12033" max="12034" width="9.140625" style="99"/>
    <col min="12035" max="12035" width="19" style="99" customWidth="1"/>
    <col min="12036" max="12275" width="9.140625" style="99"/>
    <col min="12276" max="12276" width="9.140625" style="99" customWidth="1"/>
    <col min="12277" max="12277" width="27.140625" style="99" customWidth="1"/>
    <col min="12278" max="12284" width="9.140625" style="99" customWidth="1"/>
    <col min="12285" max="12285" width="11.140625" style="99" customWidth="1"/>
    <col min="12286" max="12286" width="15" style="99" customWidth="1"/>
    <col min="12287" max="12287" width="13.85546875" style="99" customWidth="1"/>
    <col min="12288" max="12288" width="12.28515625" style="99" customWidth="1"/>
    <col min="12289" max="12290" width="9.140625" style="99"/>
    <col min="12291" max="12291" width="19" style="99" customWidth="1"/>
    <col min="12292" max="12531" width="9.140625" style="99"/>
    <col min="12532" max="12532" width="9.140625" style="99" customWidth="1"/>
    <col min="12533" max="12533" width="27.140625" style="99" customWidth="1"/>
    <col min="12534" max="12540" width="9.140625" style="99" customWidth="1"/>
    <col min="12541" max="12541" width="11.140625" style="99" customWidth="1"/>
    <col min="12542" max="12542" width="15" style="99" customWidth="1"/>
    <col min="12543" max="12543" width="13.85546875" style="99" customWidth="1"/>
    <col min="12544" max="12544" width="12.28515625" style="99" customWidth="1"/>
    <col min="12545" max="12546" width="9.140625" style="99"/>
    <col min="12547" max="12547" width="19" style="99" customWidth="1"/>
    <col min="12548" max="12787" width="9.140625" style="99"/>
    <col min="12788" max="12788" width="9.140625" style="99" customWidth="1"/>
    <col min="12789" max="12789" width="27.140625" style="99" customWidth="1"/>
    <col min="12790" max="12796" width="9.140625" style="99" customWidth="1"/>
    <col min="12797" max="12797" width="11.140625" style="99" customWidth="1"/>
    <col min="12798" max="12798" width="15" style="99" customWidth="1"/>
    <col min="12799" max="12799" width="13.85546875" style="99" customWidth="1"/>
    <col min="12800" max="12800" width="12.28515625" style="99" customWidth="1"/>
    <col min="12801" max="12802" width="9.140625" style="99"/>
    <col min="12803" max="12803" width="19" style="99" customWidth="1"/>
    <col min="12804" max="13043" width="9.140625" style="99"/>
    <col min="13044" max="13044" width="9.140625" style="99" customWidth="1"/>
    <col min="13045" max="13045" width="27.140625" style="99" customWidth="1"/>
    <col min="13046" max="13052" width="9.140625" style="99" customWidth="1"/>
    <col min="13053" max="13053" width="11.140625" style="99" customWidth="1"/>
    <col min="13054" max="13054" width="15" style="99" customWidth="1"/>
    <col min="13055" max="13055" width="13.85546875" style="99" customWidth="1"/>
    <col min="13056" max="13056" width="12.28515625" style="99" customWidth="1"/>
    <col min="13057" max="13058" width="9.140625" style="99"/>
    <col min="13059" max="13059" width="19" style="99" customWidth="1"/>
    <col min="13060" max="13299" width="9.140625" style="99"/>
    <col min="13300" max="13300" width="9.140625" style="99" customWidth="1"/>
    <col min="13301" max="13301" width="27.140625" style="99" customWidth="1"/>
    <col min="13302" max="13308" width="9.140625" style="99" customWidth="1"/>
    <col min="13309" max="13309" width="11.140625" style="99" customWidth="1"/>
    <col min="13310" max="13310" width="15" style="99" customWidth="1"/>
    <col min="13311" max="13311" width="13.85546875" style="99" customWidth="1"/>
    <col min="13312" max="13312" width="12.28515625" style="99" customWidth="1"/>
    <col min="13313" max="13314" width="9.140625" style="99"/>
    <col min="13315" max="13315" width="19" style="99" customWidth="1"/>
    <col min="13316" max="13555" width="9.140625" style="99"/>
    <col min="13556" max="13556" width="9.140625" style="99" customWidth="1"/>
    <col min="13557" max="13557" width="27.140625" style="99" customWidth="1"/>
    <col min="13558" max="13564" width="9.140625" style="99" customWidth="1"/>
    <col min="13565" max="13565" width="11.140625" style="99" customWidth="1"/>
    <col min="13566" max="13566" width="15" style="99" customWidth="1"/>
    <col min="13567" max="13567" width="13.85546875" style="99" customWidth="1"/>
    <col min="13568" max="13568" width="12.28515625" style="99" customWidth="1"/>
    <col min="13569" max="13570" width="9.140625" style="99"/>
    <col min="13571" max="13571" width="19" style="99" customWidth="1"/>
    <col min="13572" max="13811" width="9.140625" style="99"/>
    <col min="13812" max="13812" width="9.140625" style="99" customWidth="1"/>
    <col min="13813" max="13813" width="27.140625" style="99" customWidth="1"/>
    <col min="13814" max="13820" width="9.140625" style="99" customWidth="1"/>
    <col min="13821" max="13821" width="11.140625" style="99" customWidth="1"/>
    <col min="13822" max="13822" width="15" style="99" customWidth="1"/>
    <col min="13823" max="13823" width="13.85546875" style="99" customWidth="1"/>
    <col min="13824" max="13824" width="12.28515625" style="99" customWidth="1"/>
    <col min="13825" max="13826" width="9.140625" style="99"/>
    <col min="13827" max="13827" width="19" style="99" customWidth="1"/>
    <col min="13828" max="14067" width="9.140625" style="99"/>
    <col min="14068" max="14068" width="9.140625" style="99" customWidth="1"/>
    <col min="14069" max="14069" width="27.140625" style="99" customWidth="1"/>
    <col min="14070" max="14076" width="9.140625" style="99" customWidth="1"/>
    <col min="14077" max="14077" width="11.140625" style="99" customWidth="1"/>
    <col min="14078" max="14078" width="15" style="99" customWidth="1"/>
    <col min="14079" max="14079" width="13.85546875" style="99" customWidth="1"/>
    <col min="14080" max="14080" width="12.28515625" style="99" customWidth="1"/>
    <col min="14081" max="14082" width="9.140625" style="99"/>
    <col min="14083" max="14083" width="19" style="99" customWidth="1"/>
    <col min="14084" max="14323" width="9.140625" style="99"/>
    <col min="14324" max="14324" width="9.140625" style="99" customWidth="1"/>
    <col min="14325" max="14325" width="27.140625" style="99" customWidth="1"/>
    <col min="14326" max="14332" width="9.140625" style="99" customWidth="1"/>
    <col min="14333" max="14333" width="11.140625" style="99" customWidth="1"/>
    <col min="14334" max="14334" width="15" style="99" customWidth="1"/>
    <col min="14335" max="14335" width="13.85546875" style="99" customWidth="1"/>
    <col min="14336" max="14336" width="12.28515625" style="99" customWidth="1"/>
    <col min="14337" max="14338" width="9.140625" style="99"/>
    <col min="14339" max="14339" width="19" style="99" customWidth="1"/>
    <col min="14340" max="14579" width="9.140625" style="99"/>
    <col min="14580" max="14580" width="9.140625" style="99" customWidth="1"/>
    <col min="14581" max="14581" width="27.140625" style="99" customWidth="1"/>
    <col min="14582" max="14588" width="9.140625" style="99" customWidth="1"/>
    <col min="14589" max="14589" width="11.140625" style="99" customWidth="1"/>
    <col min="14590" max="14590" width="15" style="99" customWidth="1"/>
    <col min="14591" max="14591" width="13.85546875" style="99" customWidth="1"/>
    <col min="14592" max="14592" width="12.28515625" style="99" customWidth="1"/>
    <col min="14593" max="14594" width="9.140625" style="99"/>
    <col min="14595" max="14595" width="19" style="99" customWidth="1"/>
    <col min="14596" max="14835" width="9.140625" style="99"/>
    <col min="14836" max="14836" width="9.140625" style="99" customWidth="1"/>
    <col min="14837" max="14837" width="27.140625" style="99" customWidth="1"/>
    <col min="14838" max="14844" width="9.140625" style="99" customWidth="1"/>
    <col min="14845" max="14845" width="11.140625" style="99" customWidth="1"/>
    <col min="14846" max="14846" width="15" style="99" customWidth="1"/>
    <col min="14847" max="14847" width="13.85546875" style="99" customWidth="1"/>
    <col min="14848" max="14848" width="12.28515625" style="99" customWidth="1"/>
    <col min="14849" max="14850" width="9.140625" style="99"/>
    <col min="14851" max="14851" width="19" style="99" customWidth="1"/>
    <col min="14852" max="15091" width="9.140625" style="99"/>
    <col min="15092" max="15092" width="9.140625" style="99" customWidth="1"/>
    <col min="15093" max="15093" width="27.140625" style="99" customWidth="1"/>
    <col min="15094" max="15100" width="9.140625" style="99" customWidth="1"/>
    <col min="15101" max="15101" width="11.140625" style="99" customWidth="1"/>
    <col min="15102" max="15102" width="15" style="99" customWidth="1"/>
    <col min="15103" max="15103" width="13.85546875" style="99" customWidth="1"/>
    <col min="15104" max="15104" width="12.28515625" style="99" customWidth="1"/>
    <col min="15105" max="15106" width="9.140625" style="99"/>
    <col min="15107" max="15107" width="19" style="99" customWidth="1"/>
    <col min="15108" max="15347" width="9.140625" style="99"/>
    <col min="15348" max="15348" width="9.140625" style="99" customWidth="1"/>
    <col min="15349" max="15349" width="27.140625" style="99" customWidth="1"/>
    <col min="15350" max="15356" width="9.140625" style="99" customWidth="1"/>
    <col min="15357" max="15357" width="11.140625" style="99" customWidth="1"/>
    <col min="15358" max="15358" width="15" style="99" customWidth="1"/>
    <col min="15359" max="15359" width="13.85546875" style="99" customWidth="1"/>
    <col min="15360" max="15360" width="12.28515625" style="99" customWidth="1"/>
    <col min="15361" max="15362" width="9.140625" style="99"/>
    <col min="15363" max="15363" width="19" style="99" customWidth="1"/>
    <col min="15364" max="15603" width="9.140625" style="99"/>
    <col min="15604" max="15604" width="9.140625" style="99" customWidth="1"/>
    <col min="15605" max="15605" width="27.140625" style="99" customWidth="1"/>
    <col min="15606" max="15612" width="9.140625" style="99" customWidth="1"/>
    <col min="15613" max="15613" width="11.140625" style="99" customWidth="1"/>
    <col min="15614" max="15614" width="15" style="99" customWidth="1"/>
    <col min="15615" max="15615" width="13.85546875" style="99" customWidth="1"/>
    <col min="15616" max="15616" width="12.28515625" style="99" customWidth="1"/>
    <col min="15617" max="15618" width="9.140625" style="99"/>
    <col min="15619" max="15619" width="19" style="99" customWidth="1"/>
    <col min="15620" max="15859" width="9.140625" style="99"/>
    <col min="15860" max="15860" width="9.140625" style="99" customWidth="1"/>
    <col min="15861" max="15861" width="27.140625" style="99" customWidth="1"/>
    <col min="15862" max="15868" width="9.140625" style="99" customWidth="1"/>
    <col min="15869" max="15869" width="11.140625" style="99" customWidth="1"/>
    <col min="15870" max="15870" width="15" style="99" customWidth="1"/>
    <col min="15871" max="15871" width="13.85546875" style="99" customWidth="1"/>
    <col min="15872" max="15872" width="12.28515625" style="99" customWidth="1"/>
    <col min="15873" max="15874" width="9.140625" style="99"/>
    <col min="15875" max="15875" width="19" style="99" customWidth="1"/>
    <col min="15876" max="16115" width="9.140625" style="99"/>
    <col min="16116" max="16116" width="9.140625" style="99" customWidth="1"/>
    <col min="16117" max="16117" width="27.140625" style="99" customWidth="1"/>
    <col min="16118" max="16124" width="9.140625" style="99" customWidth="1"/>
    <col min="16125" max="16125" width="11.140625" style="99" customWidth="1"/>
    <col min="16126" max="16126" width="15" style="99" customWidth="1"/>
    <col min="16127" max="16127" width="13.85546875" style="99" customWidth="1"/>
    <col min="16128" max="16128" width="12.28515625" style="99" customWidth="1"/>
    <col min="16129" max="16130" width="9.140625" style="99"/>
    <col min="16131" max="16131" width="19" style="99" customWidth="1"/>
    <col min="16132" max="16384" width="9.140625" style="99"/>
  </cols>
  <sheetData>
    <row r="2" spans="1:2" ht="21" customHeight="1">
      <c r="A2" s="88" t="s">
        <v>707</v>
      </c>
    </row>
    <row r="3" spans="1:2" ht="21" customHeight="1">
      <c r="A3" s="88"/>
    </row>
    <row r="4" spans="1:2" ht="21" customHeight="1">
      <c r="A4" s="88"/>
    </row>
    <row r="5" spans="1:2" ht="39" customHeight="1">
      <c r="A5" s="642" t="s">
        <v>736</v>
      </c>
      <c r="B5" s="641" t="s">
        <v>763</v>
      </c>
    </row>
    <row r="6" spans="1:2" ht="12.75">
      <c r="A6" s="102" t="s">
        <v>762</v>
      </c>
      <c r="B6" s="102">
        <f>SUM(B7:B19)</f>
        <v>40615</v>
      </c>
    </row>
    <row r="7" spans="1:2" ht="12.75">
      <c r="A7" s="95" t="s">
        <v>44</v>
      </c>
      <c r="B7" s="103">
        <f>'Příjmy 2014 - podrobně'!AI7</f>
        <v>8000</v>
      </c>
    </row>
    <row r="8" spans="1:2" ht="12.75">
      <c r="A8" s="98" t="s">
        <v>45</v>
      </c>
      <c r="B8" s="103">
        <f>'Příjmy 2014 - podrobně'!AI8</f>
        <v>370</v>
      </c>
    </row>
    <row r="9" spans="1:2" ht="12.75">
      <c r="A9" s="98" t="s">
        <v>46</v>
      </c>
      <c r="B9" s="103">
        <f>'Příjmy 2014 - podrobně'!AI9</f>
        <v>1000</v>
      </c>
    </row>
    <row r="10" spans="1:2" ht="12.75">
      <c r="A10" s="98" t="s">
        <v>47</v>
      </c>
      <c r="B10" s="103">
        <f>'Příjmy 2014 - podrobně'!AI10</f>
        <v>8000</v>
      </c>
    </row>
    <row r="11" spans="1:2" ht="12.75">
      <c r="A11" s="98" t="s">
        <v>48</v>
      </c>
      <c r="B11" s="103">
        <f>'Příjmy 2014 - podrobně'!AI11</f>
        <v>0</v>
      </c>
    </row>
    <row r="12" spans="1:2" ht="12.75">
      <c r="A12" s="98" t="s">
        <v>49</v>
      </c>
      <c r="B12" s="103">
        <f>'Příjmy 2014 - podrobně'!AI12</f>
        <v>17000</v>
      </c>
    </row>
    <row r="13" spans="1:2" ht="12.75">
      <c r="A13" s="98" t="s">
        <v>50</v>
      </c>
      <c r="B13" s="103">
        <f>'Příjmy 2014 - podrobně'!AI13</f>
        <v>2000</v>
      </c>
    </row>
    <row r="14" spans="1:2" ht="12.75">
      <c r="A14" s="98" t="s">
        <v>51</v>
      </c>
      <c r="B14" s="103">
        <f>'Příjmy 2014 - podrobně'!AI14</f>
        <v>95</v>
      </c>
    </row>
    <row r="15" spans="1:2" ht="12.75">
      <c r="A15" s="98" t="s">
        <v>52</v>
      </c>
      <c r="B15" s="103">
        <f>'Příjmy 2014 - podrobně'!AI15</f>
        <v>200</v>
      </c>
    </row>
    <row r="16" spans="1:2" ht="12.75">
      <c r="A16" s="98" t="s">
        <v>53</v>
      </c>
      <c r="B16" s="103">
        <f>'Příjmy 2014 - podrobně'!AI16</f>
        <v>200</v>
      </c>
    </row>
    <row r="17" spans="1:2" ht="12.75">
      <c r="A17" s="98" t="s">
        <v>54</v>
      </c>
      <c r="B17" s="103">
        <f>'Příjmy 2014 - podrobně'!AI19</f>
        <v>2000</v>
      </c>
    </row>
    <row r="18" spans="1:2" ht="12.75">
      <c r="A18" s="390" t="s">
        <v>761</v>
      </c>
      <c r="B18" s="103">
        <f>'Příjmy 2014 - podrobně'!AI20</f>
        <v>1500</v>
      </c>
    </row>
    <row r="19" spans="1:2" ht="12.75">
      <c r="A19" s="98" t="s">
        <v>55</v>
      </c>
      <c r="B19" s="103">
        <f>'Příjmy 2014 - podrobně'!AI21</f>
        <v>250</v>
      </c>
    </row>
    <row r="20" spans="1:2" ht="12.75">
      <c r="A20" s="104" t="s">
        <v>782</v>
      </c>
      <c r="B20" s="104">
        <f>SUM(B21:B30)</f>
        <v>34392</v>
      </c>
    </row>
    <row r="21" spans="1:2" ht="12.75">
      <c r="A21" s="98" t="s">
        <v>59</v>
      </c>
      <c r="B21" s="105">
        <f>'Příjmy 2014 - podrobně'!AI28</f>
        <v>6000</v>
      </c>
    </row>
    <row r="22" spans="1:2" ht="12.75">
      <c r="A22" s="98" t="s">
        <v>60</v>
      </c>
      <c r="B22" s="105">
        <f>'Příjmy 2014 - podrobně'!AI29</f>
        <v>30</v>
      </c>
    </row>
    <row r="23" spans="1:2" ht="12.75">
      <c r="A23" s="98" t="s">
        <v>61</v>
      </c>
      <c r="B23" s="105">
        <f>'Příjmy 2014 - podrobně'!AI30</f>
        <v>700</v>
      </c>
    </row>
    <row r="24" spans="1:2" ht="12.75">
      <c r="A24" s="98" t="s">
        <v>58</v>
      </c>
      <c r="B24" s="105">
        <f>'Příjmy 2014 - podrobně'!AI33</f>
        <v>12000</v>
      </c>
    </row>
    <row r="25" spans="1:2" ht="12.75">
      <c r="A25" s="98" t="s">
        <v>62</v>
      </c>
      <c r="B25" s="105">
        <f>'Příjmy 2014 - podrobně'!AI34</f>
        <v>200</v>
      </c>
    </row>
    <row r="26" spans="1:2" ht="12.75">
      <c r="A26" s="98" t="s">
        <v>63</v>
      </c>
      <c r="B26" s="105">
        <f>'Příjmy 2014 - podrobně'!AI35</f>
        <v>100</v>
      </c>
    </row>
    <row r="27" spans="1:2" ht="12.75">
      <c r="A27" s="98" t="s">
        <v>56</v>
      </c>
      <c r="B27" s="105">
        <f>'Příjmy 2014 - podrobně'!AI36</f>
        <v>200</v>
      </c>
    </row>
    <row r="28" spans="1:2" ht="12.75">
      <c r="A28" s="98" t="s">
        <v>57</v>
      </c>
      <c r="B28" s="105">
        <f>'Příjmy 2014 - podrobně'!AI37</f>
        <v>1600</v>
      </c>
    </row>
    <row r="29" spans="1:2" ht="12.75">
      <c r="A29" s="390" t="s">
        <v>171</v>
      </c>
      <c r="B29" s="105">
        <f>'Příjmy 2014 - podrobně'!AI38</f>
        <v>50</v>
      </c>
    </row>
    <row r="30" spans="1:2" ht="12.75">
      <c r="A30" s="390" t="s">
        <v>783</v>
      </c>
      <c r="B30" s="105">
        <f>'Příjmy 2014 - podrobně'!AI41</f>
        <v>13512</v>
      </c>
    </row>
    <row r="31" spans="1:2" ht="15">
      <c r="A31" s="106" t="s">
        <v>64</v>
      </c>
      <c r="B31" s="92">
        <f>B6+B20</f>
        <v>75007</v>
      </c>
    </row>
    <row r="32" spans="1:2" ht="12.75">
      <c r="A32" s="645" t="s">
        <v>65</v>
      </c>
      <c r="B32" s="107">
        <f>SUM(B33:B42)</f>
        <v>11638.5</v>
      </c>
    </row>
    <row r="33" spans="1:2" ht="15" hidden="1" customHeight="1">
      <c r="A33" s="390" t="s">
        <v>266</v>
      </c>
      <c r="B33" s="108"/>
    </row>
    <row r="34" spans="1:2" ht="14.25" customHeight="1">
      <c r="A34" s="390" t="s">
        <v>267</v>
      </c>
      <c r="B34" s="108">
        <f>'Příjmy 2014 - podrobně'!AI77</f>
        <v>11240.5</v>
      </c>
    </row>
    <row r="35" spans="1:2" ht="12.75" customHeight="1">
      <c r="A35" s="390" t="s">
        <v>268</v>
      </c>
      <c r="B35" s="108">
        <f>'Příjmy 2014 - podrobně'!AI78</f>
        <v>368</v>
      </c>
    </row>
    <row r="36" spans="1:2" ht="13.5" customHeight="1">
      <c r="A36" s="390" t="s">
        <v>269</v>
      </c>
      <c r="B36" s="108">
        <f>'Příjmy 2014 - podrobně'!AI79</f>
        <v>30</v>
      </c>
    </row>
    <row r="37" spans="1:2" ht="12.75" hidden="1">
      <c r="A37" s="390" t="s">
        <v>270</v>
      </c>
      <c r="B37" s="108"/>
    </row>
    <row r="38" spans="1:2" ht="12.75" hidden="1">
      <c r="A38" s="390" t="s">
        <v>271</v>
      </c>
      <c r="B38" s="108"/>
    </row>
    <row r="39" spans="1:2" ht="12.75" hidden="1">
      <c r="A39" s="390" t="s">
        <v>272</v>
      </c>
      <c r="B39" s="108"/>
    </row>
    <row r="40" spans="1:2" ht="12.75" hidden="1">
      <c r="A40" s="390" t="s">
        <v>273</v>
      </c>
      <c r="B40" s="108"/>
    </row>
    <row r="41" spans="1:2" ht="12.75" hidden="1">
      <c r="A41" s="390" t="s">
        <v>274</v>
      </c>
      <c r="B41" s="108"/>
    </row>
    <row r="42" spans="1:2" ht="12.75" hidden="1">
      <c r="A42" s="390" t="s">
        <v>275</v>
      </c>
      <c r="B42" s="108"/>
    </row>
    <row r="43" spans="1:2" ht="12.75">
      <c r="A43" s="98" t="s">
        <v>42</v>
      </c>
      <c r="B43" s="94"/>
    </row>
    <row r="44" spans="1:2" ht="12.75">
      <c r="A44" s="98" t="s">
        <v>67</v>
      </c>
      <c r="B44" s="94">
        <f>'Příjmy 2014 - podrobně'!AI87</f>
        <v>600</v>
      </c>
    </row>
    <row r="45" spans="1:2" ht="23.25">
      <c r="A45" s="644" t="s">
        <v>66</v>
      </c>
      <c r="B45" s="643">
        <f>B31+B32+B44</f>
        <v>87245.5</v>
      </c>
    </row>
    <row r="46" spans="1:2" ht="23.25">
      <c r="A46" s="639"/>
      <c r="B46" s="640"/>
    </row>
    <row r="47" spans="1:2" ht="23.25">
      <c r="A47" s="639"/>
      <c r="B47" s="640"/>
    </row>
    <row r="48" spans="1:2" ht="23.25">
      <c r="A48" s="639"/>
      <c r="B48" s="640"/>
    </row>
    <row r="49" spans="1:2" ht="12.75"/>
    <row r="50" spans="1:2" ht="12.75">
      <c r="A50" s="503" t="s">
        <v>764</v>
      </c>
    </row>
    <row r="51" spans="1:2" ht="12.75"/>
    <row r="52" spans="1:2" ht="12.75"/>
    <row r="53" spans="1:2" ht="12.75"/>
    <row r="54" spans="1:2" ht="12.75">
      <c r="B54" s="110" t="s">
        <v>767</v>
      </c>
    </row>
    <row r="55" spans="1:2" ht="12.75">
      <c r="B55" s="503" t="s">
        <v>766</v>
      </c>
    </row>
    <row r="56" spans="1:2" ht="12.75"/>
    <row r="57" spans="1:2" ht="12.75"/>
    <row r="58" spans="1:2" ht="12.75"/>
    <row r="59" spans="1:2" ht="12.75"/>
    <row r="60" spans="1:2" ht="12.75"/>
    <row r="61" spans="1:2" ht="12.75"/>
    <row r="62" spans="1:2" ht="12.75"/>
    <row r="63" spans="1:2" ht="12.75"/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" customHeight="1">
      <c r="A4" s="75" t="s">
        <v>313</v>
      </c>
      <c r="B4" s="488" t="s">
        <v>685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440</v>
      </c>
      <c r="B5" s="585" t="s">
        <v>325</v>
      </c>
      <c r="D5" s="23">
        <v>4</v>
      </c>
      <c r="E5" s="34"/>
      <c r="F5" s="26" t="e">
        <f>(E5/#REF!)*100</f>
        <v>#REF!</v>
      </c>
      <c r="G5" s="26">
        <f t="shared" ref="G5:G10" si="0">(E5/D5)*100</f>
        <v>0</v>
      </c>
      <c r="H5"/>
      <c r="I5" s="594"/>
    </row>
    <row r="6" spans="1:9">
      <c r="B6" s="11" t="s">
        <v>441</v>
      </c>
      <c r="D6" s="23">
        <v>20</v>
      </c>
      <c r="E6" s="34">
        <v>17.318200000000001</v>
      </c>
      <c r="F6" s="26" t="e">
        <f>(E6/#REF!)*100</f>
        <v>#REF!</v>
      </c>
      <c r="G6" s="26">
        <f t="shared" si="0"/>
        <v>86.591000000000008</v>
      </c>
      <c r="H6"/>
      <c r="I6" s="594">
        <v>20</v>
      </c>
    </row>
    <row r="7" spans="1:9">
      <c r="B7" s="11" t="s">
        <v>352</v>
      </c>
      <c r="D7" s="23">
        <v>44</v>
      </c>
      <c r="E7" s="34">
        <v>43.7</v>
      </c>
      <c r="F7" s="26" t="e">
        <f>(E7/#REF!)*100</f>
        <v>#REF!</v>
      </c>
      <c r="G7" s="26">
        <f t="shared" si="0"/>
        <v>99.318181818181827</v>
      </c>
      <c r="H7"/>
      <c r="I7" s="594">
        <v>20</v>
      </c>
    </row>
    <row r="8" spans="1:9" ht="25.5">
      <c r="B8" s="399" t="s">
        <v>442</v>
      </c>
      <c r="D8" s="23">
        <v>41</v>
      </c>
      <c r="E8" s="34">
        <v>40.151699999999998</v>
      </c>
      <c r="F8" s="26" t="e">
        <f>(E8/#REF!)*100</f>
        <v>#REF!</v>
      </c>
      <c r="G8" s="26">
        <f t="shared" si="0"/>
        <v>97.930975609756089</v>
      </c>
      <c r="H8"/>
      <c r="I8" s="594">
        <v>50</v>
      </c>
    </row>
    <row r="9" spans="1:9">
      <c r="B9" s="11" t="s">
        <v>335</v>
      </c>
      <c r="D9" s="23">
        <v>1</v>
      </c>
      <c r="E9" s="34">
        <v>0.36299999999999999</v>
      </c>
      <c r="F9" s="26" t="e">
        <f>(E9/#REF!)*100</f>
        <v>#REF!</v>
      </c>
      <c r="G9" s="26">
        <f t="shared" si="0"/>
        <v>36.299999999999997</v>
      </c>
      <c r="H9"/>
      <c r="I9" s="594">
        <v>10</v>
      </c>
    </row>
    <row r="10" spans="1:9">
      <c r="B10" s="18" t="s">
        <v>10</v>
      </c>
      <c r="D10" s="19" t="e">
        <f>SUM(#REF!+#REF!)</f>
        <v>#REF!</v>
      </c>
      <c r="E10" s="20" t="e">
        <f>SUM(#REF!+#REF!)</f>
        <v>#REF!</v>
      </c>
      <c r="F10" s="18" t="e">
        <f>(E10/#REF!)*100</f>
        <v>#REF!</v>
      </c>
      <c r="G10" s="18" t="e">
        <f t="shared" si="0"/>
        <v>#REF!</v>
      </c>
      <c r="H10"/>
      <c r="I10" s="590">
        <f>SUM(I5:I9)</f>
        <v>100</v>
      </c>
    </row>
    <row r="11" spans="1:9" ht="17.25" customHeight="1">
      <c r="B11" s="4"/>
      <c r="D11" s="5"/>
      <c r="E11" s="6"/>
      <c r="F11" s="6"/>
      <c r="G11" s="395"/>
      <c r="H11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2" customHeight="1">
      <c r="A4" s="75" t="s">
        <v>313</v>
      </c>
      <c r="B4" s="488" t="s">
        <v>735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 ht="25.5">
      <c r="A5" s="75" t="s">
        <v>447</v>
      </c>
      <c r="B5" s="471" t="s">
        <v>417</v>
      </c>
      <c r="D5" s="13">
        <v>396</v>
      </c>
      <c r="E5" s="14">
        <v>396</v>
      </c>
      <c r="F5" s="26" t="e">
        <f>(E5/#REF!)*100</f>
        <v>#REF!</v>
      </c>
      <c r="G5" s="26">
        <f>(E5/D5)*100</f>
        <v>100</v>
      </c>
      <c r="H5"/>
      <c r="I5" s="589">
        <v>500</v>
      </c>
    </row>
    <row r="6" spans="1:9">
      <c r="B6" s="18" t="s">
        <v>10</v>
      </c>
      <c r="D6" s="19">
        <f>SUM(D5)</f>
        <v>396</v>
      </c>
      <c r="E6" s="68">
        <f>SUM(E5)</f>
        <v>396</v>
      </c>
      <c r="F6" s="18" t="e">
        <f>(E6/#REF!)*100</f>
        <v>#REF!</v>
      </c>
      <c r="G6" s="18">
        <f>(E6/D6)*100</f>
        <v>100</v>
      </c>
      <c r="H6"/>
      <c r="I6" s="590">
        <f>SUM(I5)</f>
        <v>500</v>
      </c>
    </row>
    <row r="7" spans="1:9" ht="17.25" customHeight="1">
      <c r="B7" s="4"/>
      <c r="D7" s="5"/>
      <c r="E7" s="6"/>
      <c r="F7" s="6"/>
      <c r="G7" s="395"/>
      <c r="H7"/>
    </row>
    <row r="8" spans="1:9" ht="17.25" customHeight="1">
      <c r="B8" s="4"/>
      <c r="D8" s="5"/>
      <c r="E8" s="6"/>
      <c r="F8" s="6"/>
      <c r="G8" s="395"/>
      <c r="H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" customHeight="1">
      <c r="A4" s="75" t="s">
        <v>313</v>
      </c>
      <c r="B4" s="488" t="s">
        <v>686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443</v>
      </c>
      <c r="B5" s="11" t="s">
        <v>330</v>
      </c>
      <c r="D5" s="23">
        <v>40</v>
      </c>
      <c r="E5" s="34"/>
      <c r="F5" s="26"/>
      <c r="G5" s="26">
        <f>(E5/D5)*100</f>
        <v>0</v>
      </c>
      <c r="H5"/>
      <c r="I5" s="594">
        <v>10</v>
      </c>
    </row>
    <row r="6" spans="1:9">
      <c r="B6" s="11" t="s">
        <v>331</v>
      </c>
      <c r="D6" s="23">
        <v>5</v>
      </c>
      <c r="E6" s="34">
        <v>4.2590000000000003</v>
      </c>
      <c r="F6" s="26"/>
      <c r="G6" s="26">
        <f>(E6/D6)*100</f>
        <v>85.18</v>
      </c>
      <c r="H6"/>
      <c r="I6" s="594">
        <v>10</v>
      </c>
    </row>
    <row r="7" spans="1:9" ht="25.5">
      <c r="B7" s="399" t="s">
        <v>444</v>
      </c>
      <c r="D7" s="23">
        <v>55</v>
      </c>
      <c r="E7" s="34">
        <v>47.334000000000003</v>
      </c>
      <c r="F7" s="26" t="e">
        <f>(E7/#REF!)*100</f>
        <v>#REF!</v>
      </c>
      <c r="G7" s="26">
        <f>(E7/D7)*100</f>
        <v>86.061818181818182</v>
      </c>
      <c r="H7"/>
      <c r="I7" s="594">
        <v>100</v>
      </c>
    </row>
    <row r="8" spans="1:9">
      <c r="B8" s="11" t="s">
        <v>445</v>
      </c>
      <c r="D8" s="23">
        <v>45</v>
      </c>
      <c r="E8" s="34">
        <v>41.018999999999998</v>
      </c>
      <c r="F8" s="26" t="e">
        <f>(E8/#REF!)*100</f>
        <v>#REF!</v>
      </c>
      <c r="G8" s="26">
        <f>(E8/D8)*100</f>
        <v>91.153333333333336</v>
      </c>
      <c r="H8"/>
      <c r="I8" s="594">
        <v>30</v>
      </c>
    </row>
    <row r="9" spans="1:9">
      <c r="B9" s="18" t="s">
        <v>10</v>
      </c>
      <c r="D9" s="19" t="e">
        <f>SUM(#REF!+#REF!)</f>
        <v>#REF!</v>
      </c>
      <c r="E9" s="20" t="e">
        <f>SUM(#REF!+#REF!)</f>
        <v>#REF!</v>
      </c>
      <c r="F9" s="18" t="e">
        <f>(E9/#REF!)*100</f>
        <v>#REF!</v>
      </c>
      <c r="G9" s="18" t="e">
        <f>(E9/D9)*100</f>
        <v>#REF!</v>
      </c>
      <c r="H9"/>
      <c r="I9" s="590">
        <f>SUM(I5:I8)</f>
        <v>150</v>
      </c>
    </row>
    <row r="10" spans="1:9" ht="17.25" customHeight="1">
      <c r="B10" s="4"/>
      <c r="D10" s="5"/>
      <c r="E10" s="6"/>
      <c r="F10" s="6"/>
      <c r="G10" s="395"/>
      <c r="H10"/>
    </row>
    <row r="11" spans="1:9" ht="17.25" customHeight="1">
      <c r="B11" s="4"/>
      <c r="D11" s="5"/>
      <c r="E11" s="6"/>
      <c r="F11" s="6"/>
      <c r="G11" s="395"/>
      <c r="H11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8"/>
  <sheetViews>
    <sheetView zoomScale="90" zoomScaleNormal="90" workbookViewId="0">
      <selection activeCell="C30" sqref="C30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5" width="11.5703125" style="84" hidden="1" customWidth="1"/>
    <col min="16" max="16" width="11.5703125" style="84" customWidth="1"/>
    <col min="17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6" width="11.5703125" style="84" customWidth="1"/>
    <col min="27" max="27" width="13.28515625" style="458" customWidth="1"/>
    <col min="28" max="28" width="14.85546875" hidden="1" customWidth="1"/>
    <col min="29" max="29" width="14" style="85" hidden="1" customWidth="1"/>
    <col min="30" max="31" width="11.5703125" style="84" hidden="1" customWidth="1"/>
    <col min="32" max="32" width="13.28515625" style="458" hidden="1" customWidth="1"/>
    <col min="33" max="33" width="2.28515625" style="458" customWidth="1"/>
    <col min="34" max="34" width="17" style="576" customWidth="1"/>
    <col min="35" max="35" width="2" customWidth="1"/>
    <col min="36" max="36" width="10.42578125" bestFit="1" customWidth="1"/>
    <col min="37" max="37" width="10.5703125" customWidth="1"/>
  </cols>
  <sheetData>
    <row r="1" spans="1:37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94"/>
      <c r="AC1" s="387"/>
      <c r="AD1" s="3"/>
      <c r="AE1" s="3"/>
      <c r="AF1" s="394"/>
      <c r="AG1" s="394"/>
    </row>
    <row r="2" spans="1:37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95"/>
      <c r="AC2" s="5"/>
      <c r="AD2" s="6"/>
      <c r="AE2" s="6"/>
      <c r="AF2" s="395"/>
      <c r="AG2" s="395"/>
    </row>
    <row r="3" spans="1:37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5"/>
      <c r="AC3" s="5"/>
      <c r="AD3" s="6"/>
      <c r="AE3" s="6"/>
      <c r="AF3" s="395"/>
      <c r="AG3" s="395"/>
    </row>
    <row r="4" spans="1:37" ht="43.5" customHeight="1">
      <c r="A4" s="75" t="s">
        <v>313</v>
      </c>
      <c r="B4" s="490" t="s">
        <v>575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 s="492"/>
      <c r="AA4" s="493"/>
      <c r="AC4" s="9" t="s">
        <v>315</v>
      </c>
      <c r="AD4" s="10" t="s">
        <v>316</v>
      </c>
      <c r="AE4" s="10" t="s">
        <v>309</v>
      </c>
      <c r="AF4" s="396" t="s">
        <v>7</v>
      </c>
      <c r="AG4"/>
      <c r="AH4" s="495"/>
      <c r="AJ4" s="496"/>
      <c r="AK4" s="497"/>
    </row>
    <row r="5" spans="1:37" ht="49.5" customHeight="1">
      <c r="A5" s="2" t="s">
        <v>605</v>
      </c>
      <c r="B5" s="491" t="s">
        <v>574</v>
      </c>
      <c r="C5" s="23">
        <v>3500</v>
      </c>
      <c r="D5" s="23">
        <v>3500</v>
      </c>
      <c r="E5" s="34">
        <v>0</v>
      </c>
      <c r="F5" s="34"/>
      <c r="G5" s="34"/>
      <c r="H5" s="34">
        <v>5.8</v>
      </c>
      <c r="I5" s="34">
        <f>H5-F5</f>
        <v>5.8</v>
      </c>
      <c r="J5" s="34">
        <v>5.8</v>
      </c>
      <c r="K5" s="25">
        <f>J5-H5</f>
        <v>0</v>
      </c>
      <c r="L5" s="34">
        <v>5.8</v>
      </c>
      <c r="M5" s="34">
        <f>L5-J5</f>
        <v>0</v>
      </c>
      <c r="N5" s="34">
        <v>27.58</v>
      </c>
      <c r="O5" s="34">
        <f>N5-L5</f>
        <v>21.779999999999998</v>
      </c>
      <c r="P5" s="34">
        <v>32.823</v>
      </c>
      <c r="Q5" s="25">
        <f>P5-N5</f>
        <v>5.2430000000000021</v>
      </c>
      <c r="R5" s="34">
        <v>844.70758999999998</v>
      </c>
      <c r="S5" s="34">
        <f>R5-P5</f>
        <v>811.88459</v>
      </c>
      <c r="T5" s="34"/>
      <c r="U5" s="34"/>
      <c r="V5" s="34"/>
      <c r="W5" s="34"/>
      <c r="X5" s="34"/>
      <c r="Y5" s="25">
        <f>E5+G5+I5+K5+M5+O5+Q5+S5+U5+W5</f>
        <v>844.70758999999998</v>
      </c>
      <c r="Z5" s="494"/>
      <c r="AA5" s="494"/>
      <c r="AC5" s="13">
        <v>115</v>
      </c>
      <c r="AD5" s="14">
        <v>114.45</v>
      </c>
      <c r="AE5" s="26" t="e">
        <f>(AD5/#REF!)*100</f>
        <v>#REF!</v>
      </c>
      <c r="AF5" s="26">
        <f>(AD5/AC5)*100</f>
        <v>99.521739130434781</v>
      </c>
      <c r="AG5"/>
      <c r="AH5" s="501" t="s">
        <v>646</v>
      </c>
      <c r="AJ5" s="497"/>
      <c r="AK5" s="497"/>
    </row>
    <row r="6" spans="1:37" ht="14.25" customHeight="1">
      <c r="B6" s="41" t="s">
        <v>10</v>
      </c>
      <c r="C6" s="42">
        <f>C5</f>
        <v>3500</v>
      </c>
      <c r="D6" s="42">
        <f>D5</f>
        <v>3500</v>
      </c>
      <c r="E6" s="417">
        <f>SUM(E5)</f>
        <v>0</v>
      </c>
      <c r="F6" s="417">
        <f t="shared" ref="F6:W6" si="0">SUM(F5)</f>
        <v>0</v>
      </c>
      <c r="G6" s="417">
        <f>SUM(G5)</f>
        <v>0</v>
      </c>
      <c r="H6" s="417">
        <f t="shared" si="0"/>
        <v>5.8</v>
      </c>
      <c r="I6" s="417">
        <f t="shared" si="0"/>
        <v>5.8</v>
      </c>
      <c r="J6" s="417">
        <f t="shared" si="0"/>
        <v>5.8</v>
      </c>
      <c r="K6" s="417">
        <f t="shared" si="0"/>
        <v>0</v>
      </c>
      <c r="L6" s="417">
        <f t="shared" si="0"/>
        <v>5.8</v>
      </c>
      <c r="M6" s="417">
        <f t="shared" si="0"/>
        <v>0</v>
      </c>
      <c r="N6" s="417">
        <f t="shared" si="0"/>
        <v>27.58</v>
      </c>
      <c r="O6" s="417">
        <f t="shared" si="0"/>
        <v>21.779999999999998</v>
      </c>
      <c r="P6" s="417">
        <f t="shared" si="0"/>
        <v>32.823</v>
      </c>
      <c r="Q6" s="417">
        <f t="shared" si="0"/>
        <v>5.2430000000000021</v>
      </c>
      <c r="R6" s="417">
        <f t="shared" si="0"/>
        <v>844.70758999999998</v>
      </c>
      <c r="S6" s="417">
        <f t="shared" si="0"/>
        <v>811.88459</v>
      </c>
      <c r="T6" s="417">
        <f t="shared" si="0"/>
        <v>0</v>
      </c>
      <c r="U6" s="417">
        <f t="shared" si="0"/>
        <v>0</v>
      </c>
      <c r="V6" s="417">
        <f t="shared" si="0"/>
        <v>0</v>
      </c>
      <c r="W6" s="417">
        <f t="shared" si="0"/>
        <v>0</v>
      </c>
      <c r="X6" s="417"/>
      <c r="Y6" s="417">
        <f>SUM(Y5)</f>
        <v>844.70758999999998</v>
      </c>
      <c r="Z6" s="41"/>
      <c r="AA6" s="41"/>
      <c r="AC6" s="19">
        <f>SUM(AC5)</f>
        <v>115</v>
      </c>
      <c r="AD6" s="20">
        <f>SUM(AD5)</f>
        <v>114.45</v>
      </c>
      <c r="AE6" s="18" t="e">
        <f>(AD6/#REF!)*100</f>
        <v>#REF!</v>
      </c>
      <c r="AF6" s="18">
        <f>(AD6/AC6)*100</f>
        <v>99.521739130434781</v>
      </c>
      <c r="AG6"/>
      <c r="AH6" s="499">
        <f>Y6</f>
        <v>844.70758999999998</v>
      </c>
      <c r="AJ6" s="417"/>
      <c r="AK6" s="417"/>
    </row>
    <row r="7" spans="1:37" ht="17.25" customHeight="1"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95"/>
      <c r="AC7" s="5"/>
      <c r="AD7" s="6"/>
      <c r="AE7" s="6"/>
      <c r="AF7" s="395"/>
      <c r="AG7"/>
    </row>
    <row r="8" spans="1:37" ht="17.25" customHeight="1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95"/>
      <c r="AC8" s="5"/>
      <c r="AD8" s="6"/>
      <c r="AE8" s="6"/>
      <c r="AF8" s="395"/>
      <c r="AG8"/>
    </row>
  </sheetData>
  <conditionalFormatting sqref="Z4:AA6">
    <cfRule type="cellIs" dxfId="8" priority="3" operator="greaterThan">
      <formula>100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13" ht="15.75">
      <c r="B1" s="1"/>
      <c r="D1" s="387"/>
      <c r="E1" s="3"/>
      <c r="F1" s="3"/>
      <c r="G1" s="394"/>
      <c r="H1" s="394"/>
    </row>
    <row r="2" spans="1:13" ht="17.25" customHeight="1">
      <c r="A2" s="580" t="s">
        <v>673</v>
      </c>
      <c r="B2" s="4"/>
      <c r="D2" s="5"/>
      <c r="E2" s="6"/>
      <c r="F2" s="6"/>
      <c r="G2" s="395"/>
      <c r="H2" s="395"/>
    </row>
    <row r="3" spans="1:13" ht="17.25" customHeight="1">
      <c r="B3" s="4"/>
      <c r="D3" s="5"/>
      <c r="E3" s="6"/>
      <c r="F3" s="6"/>
      <c r="G3" s="395"/>
      <c r="H3" s="395"/>
    </row>
    <row r="4" spans="1:13" ht="39.75" customHeight="1">
      <c r="A4" s="75" t="s">
        <v>313</v>
      </c>
      <c r="B4" s="488" t="s">
        <v>448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13">
      <c r="A5" s="75" t="s">
        <v>449</v>
      </c>
      <c r="B5" s="11" t="s">
        <v>410</v>
      </c>
      <c r="D5" s="13">
        <v>850</v>
      </c>
      <c r="E5" s="14">
        <v>431.29399999999998</v>
      </c>
      <c r="F5" s="26" t="e">
        <f>(E5/#REF!)*100</f>
        <v>#REF!</v>
      </c>
      <c r="G5" s="26">
        <f t="shared" ref="G5:G29" si="0">(E5/D5)*100</f>
        <v>50.74047058823529</v>
      </c>
      <c r="H5"/>
      <c r="I5" s="594">
        <v>750</v>
      </c>
      <c r="M5" s="84"/>
    </row>
    <row r="6" spans="1:13">
      <c r="B6" s="11" t="s">
        <v>325</v>
      </c>
      <c r="D6" s="13">
        <v>20</v>
      </c>
      <c r="E6" s="14"/>
      <c r="F6" s="26" t="e">
        <f>(E6/#REF!)*100</f>
        <v>#REF!</v>
      </c>
      <c r="G6" s="26">
        <f t="shared" si="0"/>
        <v>0</v>
      </c>
      <c r="H6"/>
      <c r="I6" s="594">
        <v>20</v>
      </c>
      <c r="M6" s="84"/>
    </row>
    <row r="7" spans="1:13">
      <c r="A7"/>
      <c r="B7" s="11" t="s">
        <v>326</v>
      </c>
      <c r="D7" s="13">
        <v>300</v>
      </c>
      <c r="E7" s="14">
        <v>157.41200000000001</v>
      </c>
      <c r="F7" s="26" t="e">
        <f>(E7/#REF!)*100</f>
        <v>#REF!</v>
      </c>
      <c r="G7" s="26">
        <f t="shared" si="0"/>
        <v>52.470666666666666</v>
      </c>
      <c r="H7"/>
      <c r="I7" s="594">
        <v>220</v>
      </c>
      <c r="M7" s="84"/>
    </row>
    <row r="8" spans="1:13">
      <c r="A8"/>
      <c r="B8" s="11" t="s">
        <v>327</v>
      </c>
      <c r="D8" s="13">
        <v>115</v>
      </c>
      <c r="E8" s="14">
        <v>67.468999999999994</v>
      </c>
      <c r="F8" s="26" t="e">
        <f>(E8/#REF!)*100</f>
        <v>#REF!</v>
      </c>
      <c r="G8" s="26">
        <f t="shared" si="0"/>
        <v>58.668695652173909</v>
      </c>
      <c r="H8"/>
      <c r="I8" s="594">
        <v>110</v>
      </c>
      <c r="M8" s="84"/>
    </row>
    <row r="9" spans="1:13">
      <c r="A9"/>
      <c r="B9" s="11" t="s">
        <v>328</v>
      </c>
      <c r="D9" s="13">
        <v>5</v>
      </c>
      <c r="E9" s="14">
        <v>2.2050000000000001</v>
      </c>
      <c r="F9" s="26" t="e">
        <f>(E9/#REF!)*100</f>
        <v>#REF!</v>
      </c>
      <c r="G9" s="26">
        <f t="shared" si="0"/>
        <v>44.1</v>
      </c>
      <c r="H9"/>
      <c r="I9" s="594">
        <v>5</v>
      </c>
      <c r="M9" s="84"/>
    </row>
    <row r="10" spans="1:13">
      <c r="A10"/>
      <c r="B10" s="11" t="s">
        <v>329</v>
      </c>
      <c r="D10" s="13">
        <v>2</v>
      </c>
      <c r="E10" s="14"/>
      <c r="F10" s="26" t="e">
        <f>(E10/#REF!)*100</f>
        <v>#REF!</v>
      </c>
      <c r="G10" s="26">
        <f t="shared" si="0"/>
        <v>0</v>
      </c>
      <c r="H10"/>
      <c r="I10" s="594">
        <v>2</v>
      </c>
      <c r="M10" s="84"/>
    </row>
    <row r="11" spans="1:13">
      <c r="A11"/>
      <c r="B11" s="11" t="s">
        <v>411</v>
      </c>
      <c r="D11" s="13">
        <v>1</v>
      </c>
      <c r="E11" s="14">
        <v>0.59350000000000003</v>
      </c>
      <c r="F11" s="26" t="e">
        <f>(E11/#REF!)*100</f>
        <v>#REF!</v>
      </c>
      <c r="G11" s="26">
        <f t="shared" si="0"/>
        <v>59.35</v>
      </c>
      <c r="H11"/>
      <c r="I11" s="594">
        <v>1</v>
      </c>
      <c r="M11" s="84"/>
    </row>
    <row r="12" spans="1:13">
      <c r="A12"/>
      <c r="B12" s="11" t="s">
        <v>330</v>
      </c>
      <c r="D12" s="13">
        <v>10</v>
      </c>
      <c r="E12" s="14">
        <v>8.1069999999999993</v>
      </c>
      <c r="F12" s="26" t="e">
        <f>(E12/#REF!)*100</f>
        <v>#REF!</v>
      </c>
      <c r="G12" s="26">
        <f t="shared" si="0"/>
        <v>81.069999999999993</v>
      </c>
      <c r="H12"/>
      <c r="I12" s="594">
        <v>20</v>
      </c>
      <c r="M12" s="84"/>
    </row>
    <row r="13" spans="1:13" ht="32.25" customHeight="1">
      <c r="A13"/>
      <c r="B13" s="471" t="s">
        <v>558</v>
      </c>
      <c r="D13" s="23">
        <v>200</v>
      </c>
      <c r="E13" s="34">
        <v>69.661249999999995</v>
      </c>
      <c r="F13" s="26" t="e">
        <f>(E13/#REF!)*100</f>
        <v>#REF!</v>
      </c>
      <c r="G13" s="26">
        <f t="shared" si="0"/>
        <v>34.830624999999998</v>
      </c>
      <c r="H13"/>
      <c r="I13" s="622">
        <v>450</v>
      </c>
      <c r="M13" s="84"/>
    </row>
    <row r="14" spans="1:13">
      <c r="A14"/>
      <c r="B14" s="11" t="s">
        <v>352</v>
      </c>
      <c r="D14" s="13">
        <v>1200</v>
      </c>
      <c r="E14" s="14">
        <v>988.71600000000001</v>
      </c>
      <c r="F14" s="26" t="e">
        <f>(E14/#REF!)*100</f>
        <v>#REF!</v>
      </c>
      <c r="G14" s="26">
        <f t="shared" si="0"/>
        <v>82.393000000000001</v>
      </c>
      <c r="H14"/>
      <c r="I14" s="594">
        <v>1400</v>
      </c>
      <c r="M14" s="84"/>
    </row>
    <row r="15" spans="1:13">
      <c r="A15"/>
      <c r="B15" s="11" t="s">
        <v>450</v>
      </c>
      <c r="D15" s="13">
        <v>3590</v>
      </c>
      <c r="E15" s="14">
        <v>2198.44344</v>
      </c>
      <c r="F15" s="26" t="e">
        <f>(E15/#REF!)*100</f>
        <v>#REF!</v>
      </c>
      <c r="G15" s="26">
        <f t="shared" si="0"/>
        <v>61.237978830083563</v>
      </c>
      <c r="H15"/>
      <c r="I15" s="594">
        <v>3100</v>
      </c>
      <c r="M15" s="84"/>
    </row>
    <row r="16" spans="1:13">
      <c r="A16"/>
      <c r="B16" s="52" t="s">
        <v>431</v>
      </c>
      <c r="D16" s="13">
        <v>20</v>
      </c>
      <c r="E16" s="14">
        <v>16.044779999999999</v>
      </c>
      <c r="F16" s="26" t="e">
        <f>(E16/#REF!)*100</f>
        <v>#REF!</v>
      </c>
      <c r="G16" s="26">
        <f t="shared" si="0"/>
        <v>80.223899999999986</v>
      </c>
      <c r="H16"/>
      <c r="I16" s="594">
        <v>10</v>
      </c>
      <c r="M16" s="84"/>
    </row>
    <row r="17" spans="1:13">
      <c r="A17"/>
      <c r="B17" s="11" t="s">
        <v>451</v>
      </c>
      <c r="D17" s="48">
        <v>180</v>
      </c>
      <c r="E17" s="14">
        <v>156.89520999999999</v>
      </c>
      <c r="F17" s="26" t="e">
        <f>(E17/#REF!)*100</f>
        <v>#REF!</v>
      </c>
      <c r="G17" s="26">
        <f t="shared" si="0"/>
        <v>87.164005555555548</v>
      </c>
      <c r="H17"/>
      <c r="I17" s="594">
        <v>200</v>
      </c>
      <c r="M17" s="84"/>
    </row>
    <row r="18" spans="1:13">
      <c r="A18"/>
      <c r="B18" s="11" t="s">
        <v>332</v>
      </c>
      <c r="D18" s="13">
        <v>5</v>
      </c>
      <c r="E18" s="14">
        <v>4.9737400000000003</v>
      </c>
      <c r="F18" s="26" t="e">
        <f>(E18/#REF!)*100</f>
        <v>#REF!</v>
      </c>
      <c r="G18" s="26">
        <f t="shared" si="0"/>
        <v>99.474800000000002</v>
      </c>
      <c r="H18"/>
      <c r="I18" s="594">
        <v>10</v>
      </c>
      <c r="M18" s="84"/>
    </row>
    <row r="19" spans="1:13">
      <c r="A19"/>
      <c r="B19" s="11" t="s">
        <v>412</v>
      </c>
      <c r="D19" s="13">
        <v>26</v>
      </c>
      <c r="E19" s="14">
        <v>23.8062</v>
      </c>
      <c r="F19" s="26" t="e">
        <f>(E19/#REF!)*100</f>
        <v>#REF!</v>
      </c>
      <c r="G19" s="26">
        <f t="shared" si="0"/>
        <v>91.562307692307698</v>
      </c>
      <c r="H19"/>
      <c r="I19" s="594">
        <v>30</v>
      </c>
      <c r="M19" s="84"/>
    </row>
    <row r="20" spans="1:13">
      <c r="A20"/>
      <c r="B20" s="11" t="s">
        <v>333</v>
      </c>
      <c r="D20" s="13">
        <v>20</v>
      </c>
      <c r="E20" s="14">
        <v>8.7489799999999995</v>
      </c>
      <c r="F20" s="26" t="e">
        <f>(E20/#REF!)*100</f>
        <v>#REF!</v>
      </c>
      <c r="G20" s="26">
        <f t="shared" si="0"/>
        <v>43.744900000000001</v>
      </c>
      <c r="H20"/>
      <c r="I20" s="594">
        <v>15</v>
      </c>
      <c r="M20" s="84"/>
    </row>
    <row r="21" spans="1:13">
      <c r="A21"/>
      <c r="B21" s="11" t="s">
        <v>334</v>
      </c>
      <c r="D21" s="13">
        <v>70</v>
      </c>
      <c r="E21" s="14"/>
      <c r="F21" s="26" t="e">
        <f>(E21/#REF!)*100</f>
        <v>#REF!</v>
      </c>
      <c r="G21" s="26">
        <f t="shared" si="0"/>
        <v>0</v>
      </c>
      <c r="H21"/>
      <c r="I21" s="594">
        <v>70</v>
      </c>
      <c r="M21" s="84"/>
    </row>
    <row r="22" spans="1:13">
      <c r="A22"/>
      <c r="B22" s="11" t="s">
        <v>452</v>
      </c>
      <c r="D22" s="23">
        <v>5</v>
      </c>
      <c r="E22" s="34"/>
      <c r="F22" s="26" t="e">
        <f>(E22/#REF!)*100</f>
        <v>#REF!</v>
      </c>
      <c r="G22" s="26">
        <f t="shared" si="0"/>
        <v>0</v>
      </c>
      <c r="H22"/>
      <c r="I22" s="594">
        <v>5</v>
      </c>
      <c r="M22" s="84"/>
    </row>
    <row r="23" spans="1:13">
      <c r="B23" s="11" t="s">
        <v>319</v>
      </c>
      <c r="D23" s="13">
        <v>10</v>
      </c>
      <c r="E23" s="14">
        <v>7.2374999999999998</v>
      </c>
      <c r="F23" s="26" t="e">
        <f>(E23/#REF!)*100</f>
        <v>#REF!</v>
      </c>
      <c r="G23" s="26">
        <f t="shared" si="0"/>
        <v>72.375</v>
      </c>
      <c r="H23"/>
      <c r="I23" s="594">
        <v>10</v>
      </c>
      <c r="M23" s="84"/>
    </row>
    <row r="24" spans="1:13">
      <c r="B24" s="11" t="s">
        <v>453</v>
      </c>
      <c r="D24" s="24">
        <v>700</v>
      </c>
      <c r="E24" s="25">
        <v>576.14139</v>
      </c>
      <c r="F24" s="26" t="e">
        <f>(E24/#REF!)*100</f>
        <v>#REF!</v>
      </c>
      <c r="G24" s="26">
        <f t="shared" si="0"/>
        <v>82.305912857142857</v>
      </c>
      <c r="H24"/>
      <c r="I24" s="594">
        <v>250</v>
      </c>
      <c r="M24" s="84"/>
    </row>
    <row r="25" spans="1:13" ht="15.75" customHeight="1">
      <c r="B25" s="11" t="s">
        <v>335</v>
      </c>
      <c r="D25" s="23">
        <v>1185.53</v>
      </c>
      <c r="E25" s="34">
        <v>933.36293000000001</v>
      </c>
      <c r="F25" s="26" t="e">
        <f>(E25/#REF!)*100</f>
        <v>#REF!</v>
      </c>
      <c r="G25" s="26">
        <f t="shared" si="0"/>
        <v>78.729591828127511</v>
      </c>
      <c r="H25"/>
      <c r="I25" s="594">
        <v>1500</v>
      </c>
      <c r="M25" s="84"/>
    </row>
    <row r="26" spans="1:13" ht="14.25" customHeight="1">
      <c r="B26" s="11" t="s">
        <v>416</v>
      </c>
      <c r="D26" s="13">
        <v>1</v>
      </c>
      <c r="E26" s="14">
        <v>0.52700000000000002</v>
      </c>
      <c r="F26" s="26" t="e">
        <f>(E26/#REF!)*100</f>
        <v>#REF!</v>
      </c>
      <c r="G26" s="26">
        <f t="shared" si="0"/>
        <v>52.7</v>
      </c>
      <c r="H26"/>
      <c r="I26" s="594">
        <v>1</v>
      </c>
      <c r="M26" s="84"/>
    </row>
    <row r="27" spans="1:13" ht="14.25" customHeight="1">
      <c r="B27" s="17" t="s">
        <v>616</v>
      </c>
      <c r="D27" s="13"/>
      <c r="E27" s="14"/>
      <c r="F27" s="26"/>
      <c r="G27" s="26"/>
      <c r="H27"/>
      <c r="I27" s="594">
        <v>2</v>
      </c>
      <c r="M27" s="84"/>
    </row>
    <row r="28" spans="1:13" ht="14.25" customHeight="1">
      <c r="B28" s="11" t="s">
        <v>418</v>
      </c>
      <c r="D28" s="13">
        <v>10</v>
      </c>
      <c r="E28" s="14">
        <v>8.8870000000000005</v>
      </c>
      <c r="F28" s="26" t="e">
        <f>(E28/#REF!)*100</f>
        <v>#REF!</v>
      </c>
      <c r="G28" s="26">
        <f t="shared" si="0"/>
        <v>88.87</v>
      </c>
      <c r="H28"/>
      <c r="I28" s="594">
        <v>10</v>
      </c>
      <c r="M28" s="84"/>
    </row>
    <row r="29" spans="1:13">
      <c r="B29" s="11" t="s">
        <v>338</v>
      </c>
      <c r="D29" s="13">
        <v>15</v>
      </c>
      <c r="E29" s="14">
        <v>8.875</v>
      </c>
      <c r="F29" s="26" t="e">
        <f>(E29/#REF!)*100</f>
        <v>#REF!</v>
      </c>
      <c r="G29" s="26">
        <f t="shared" si="0"/>
        <v>59.166666666666664</v>
      </c>
      <c r="H29"/>
      <c r="I29" s="594">
        <v>15</v>
      </c>
      <c r="M29" s="84"/>
    </row>
    <row r="30" spans="1:13">
      <c r="B30" s="18" t="s">
        <v>10</v>
      </c>
      <c r="D30" s="19">
        <f>SUM(D5:D29)</f>
        <v>8540.5300000000007</v>
      </c>
      <c r="E30" s="20">
        <f>SUM(E5:E29)</f>
        <v>5669.400920000001</v>
      </c>
      <c r="F30" s="18" t="e">
        <f>(E30/#REF!)*100</f>
        <v>#REF!</v>
      </c>
      <c r="G30" s="18">
        <f>(E30/D30)*100</f>
        <v>66.382307889557211</v>
      </c>
      <c r="H30"/>
      <c r="I30" s="595">
        <f>SUM(I5:I29)</f>
        <v>8206</v>
      </c>
    </row>
    <row r="31" spans="1:13" ht="17.25" customHeight="1">
      <c r="B31" s="4"/>
      <c r="D31" s="5"/>
      <c r="E31" s="6"/>
      <c r="F31" s="6"/>
      <c r="G31" s="395"/>
      <c r="H31"/>
    </row>
    <row r="32" spans="1:13" ht="17.25" customHeight="1">
      <c r="B32" s="4"/>
      <c r="D32" s="5"/>
      <c r="E32" s="6"/>
      <c r="F32" s="6"/>
      <c r="G32" s="395"/>
      <c r="H32"/>
    </row>
    <row r="33" spans="2:9" ht="17.25" customHeight="1">
      <c r="B33" s="4"/>
      <c r="D33" s="5"/>
      <c r="E33" s="6"/>
      <c r="F33" s="6"/>
      <c r="G33" s="395"/>
      <c r="H33"/>
      <c r="I33" s="586"/>
    </row>
    <row r="34" spans="2:9" ht="17.25" customHeight="1">
      <c r="B34" s="4"/>
      <c r="D34" s="5"/>
      <c r="E34" s="6"/>
      <c r="F34" s="6"/>
      <c r="G34" s="395"/>
      <c r="H34"/>
      <c r="I34" s="586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3.5" customHeight="1">
      <c r="A4" s="75" t="s">
        <v>313</v>
      </c>
      <c r="B4" s="488" t="s">
        <v>454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455</v>
      </c>
      <c r="B5" s="11" t="s">
        <v>331</v>
      </c>
      <c r="D5" s="23">
        <v>50</v>
      </c>
      <c r="E5" s="34">
        <v>4.1879999999999997</v>
      </c>
      <c r="F5" s="26" t="e">
        <f>(E5/#REF!)*100</f>
        <v>#REF!</v>
      </c>
      <c r="G5" s="26">
        <f t="shared" ref="G5:G11" si="0">(E5/D5)*100</f>
        <v>8.3759999999999994</v>
      </c>
      <c r="H5"/>
      <c r="I5" s="594">
        <v>50</v>
      </c>
    </row>
    <row r="6" spans="1:9">
      <c r="B6" s="11" t="s">
        <v>352</v>
      </c>
      <c r="D6" s="13">
        <v>120</v>
      </c>
      <c r="E6" s="14">
        <v>76.498469999999998</v>
      </c>
      <c r="F6" s="26" t="e">
        <f>(E6/#REF!)*100</f>
        <v>#REF!</v>
      </c>
      <c r="G6" s="26">
        <f t="shared" si="0"/>
        <v>63.748724999999993</v>
      </c>
      <c r="H6"/>
      <c r="I6" s="594">
        <v>100</v>
      </c>
    </row>
    <row r="7" spans="1:9">
      <c r="B7" s="52" t="s">
        <v>23</v>
      </c>
      <c r="D7" s="24">
        <v>1200</v>
      </c>
      <c r="E7" s="25">
        <v>752.74956999999995</v>
      </c>
      <c r="F7" s="26" t="e">
        <f>(E7/#REF!)*100</f>
        <v>#REF!</v>
      </c>
      <c r="G7" s="26">
        <f t="shared" si="0"/>
        <v>62.729130833333322</v>
      </c>
      <c r="H7"/>
      <c r="I7" s="594">
        <v>1100</v>
      </c>
    </row>
    <row r="8" spans="1:9">
      <c r="B8" s="11" t="s">
        <v>345</v>
      </c>
      <c r="D8" s="13">
        <v>400</v>
      </c>
      <c r="E8" s="14">
        <v>362.66109999999998</v>
      </c>
      <c r="F8" s="26" t="e">
        <f>(E8/#REF!)*100</f>
        <v>#REF!</v>
      </c>
      <c r="G8" s="26">
        <f t="shared" si="0"/>
        <v>90.665274999999994</v>
      </c>
      <c r="H8"/>
      <c r="I8" s="594">
        <v>400</v>
      </c>
    </row>
    <row r="9" spans="1:9">
      <c r="B9" s="11" t="s">
        <v>334</v>
      </c>
      <c r="D9" s="13">
        <v>30</v>
      </c>
      <c r="E9" s="14"/>
      <c r="F9" s="26" t="e">
        <f>(E9/#REF!)*100</f>
        <v>#REF!</v>
      </c>
      <c r="G9" s="26">
        <f t="shared" si="0"/>
        <v>0</v>
      </c>
      <c r="H9"/>
      <c r="I9" s="594">
        <v>30</v>
      </c>
    </row>
    <row r="10" spans="1:9">
      <c r="B10" s="11" t="s">
        <v>320</v>
      </c>
      <c r="D10" s="13">
        <v>200</v>
      </c>
      <c r="E10" s="14">
        <v>32.887560000000001</v>
      </c>
      <c r="F10" s="26" t="e">
        <f>(E10/#REF!)*100</f>
        <v>#REF!</v>
      </c>
      <c r="G10" s="26">
        <f t="shared" si="0"/>
        <v>16.44378</v>
      </c>
      <c r="H10"/>
      <c r="I10" s="594">
        <v>100</v>
      </c>
    </row>
    <row r="11" spans="1:9">
      <c r="B11" s="11" t="s">
        <v>335</v>
      </c>
      <c r="D11" s="13">
        <v>300</v>
      </c>
      <c r="E11" s="14">
        <v>186.06041999999999</v>
      </c>
      <c r="F11" s="26" t="e">
        <f>(E11/#REF!)*100</f>
        <v>#REF!</v>
      </c>
      <c r="G11" s="26">
        <f t="shared" si="0"/>
        <v>62.020139999999998</v>
      </c>
      <c r="H11"/>
      <c r="I11" s="594">
        <v>500</v>
      </c>
    </row>
    <row r="12" spans="1:9">
      <c r="B12" s="18" t="s">
        <v>10</v>
      </c>
      <c r="D12" s="19">
        <f>SUM(D5:D11)</f>
        <v>2300</v>
      </c>
      <c r="E12" s="20">
        <f>SUM(E5:E11)</f>
        <v>1415.0451199999998</v>
      </c>
      <c r="F12" s="18" t="e">
        <f>(E12/#REF!)*100</f>
        <v>#REF!</v>
      </c>
      <c r="G12" s="18">
        <f>(E12/D12)*100</f>
        <v>61.523700869565211</v>
      </c>
      <c r="H12"/>
      <c r="I12" s="595">
        <f>SUM(I5:I11)</f>
        <v>2280</v>
      </c>
    </row>
    <row r="13" spans="1:9" ht="17.25" customHeight="1">
      <c r="B13" s="4"/>
      <c r="D13" s="5"/>
      <c r="E13" s="6"/>
      <c r="F13" s="6"/>
      <c r="G13" s="395"/>
      <c r="H13"/>
    </row>
    <row r="14" spans="1:9" ht="17.25" customHeight="1">
      <c r="B14" s="4"/>
      <c r="D14" s="5"/>
      <c r="E14" s="6"/>
      <c r="F14" s="6"/>
      <c r="G14" s="395"/>
      <c r="H14"/>
      <c r="I14" s="586"/>
    </row>
    <row r="15" spans="1:9" ht="17.25" customHeight="1">
      <c r="B15" s="4"/>
      <c r="D15" s="5"/>
      <c r="E15" s="6"/>
      <c r="F15" s="6"/>
      <c r="G15" s="395"/>
      <c r="H15"/>
      <c r="I15" s="586"/>
    </row>
    <row r="16" spans="1:9" ht="17.25" customHeight="1">
      <c r="B16" s="4"/>
      <c r="D16" s="5"/>
      <c r="E16" s="6"/>
      <c r="F16" s="6"/>
      <c r="G16" s="395"/>
      <c r="H16"/>
      <c r="I16" s="586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8"/>
  <sheetViews>
    <sheetView zoomScale="90" zoomScaleNormal="90" workbookViewId="0">
      <selection activeCell="C40" sqref="C40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5" width="11.5703125" style="84" hidden="1" customWidth="1"/>
    <col min="16" max="16" width="11.5703125" style="84" customWidth="1"/>
    <col min="17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6" width="11.5703125" style="84" customWidth="1"/>
    <col min="27" max="27" width="13.28515625" style="458" customWidth="1"/>
    <col min="28" max="28" width="14.85546875" hidden="1" customWidth="1"/>
    <col min="29" max="29" width="14" style="85" hidden="1" customWidth="1"/>
    <col min="30" max="31" width="11.5703125" style="84" hidden="1" customWidth="1"/>
    <col min="32" max="32" width="13.28515625" style="458" hidden="1" customWidth="1"/>
    <col min="33" max="33" width="2.28515625" style="458" customWidth="1"/>
    <col min="34" max="34" width="17" style="576" customWidth="1"/>
    <col min="35" max="35" width="2" customWidth="1"/>
    <col min="36" max="36" width="10.42578125" bestFit="1" customWidth="1"/>
    <col min="37" max="37" width="10.5703125" customWidth="1"/>
  </cols>
  <sheetData>
    <row r="1" spans="1:37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94"/>
      <c r="AC1" s="387"/>
      <c r="AD1" s="3"/>
      <c r="AE1" s="3"/>
      <c r="AF1" s="394"/>
      <c r="AG1" s="394"/>
    </row>
    <row r="2" spans="1:37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95"/>
      <c r="AC2" s="5"/>
      <c r="AD2" s="6"/>
      <c r="AE2" s="6"/>
      <c r="AF2" s="395"/>
      <c r="AG2" s="395"/>
    </row>
    <row r="3" spans="1:37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5"/>
      <c r="AC3" s="5"/>
      <c r="AD3" s="6"/>
      <c r="AE3" s="6"/>
      <c r="AF3" s="395"/>
      <c r="AG3" s="395"/>
    </row>
    <row r="4" spans="1:37" ht="43.5" customHeight="1">
      <c r="A4" s="75" t="s">
        <v>313</v>
      </c>
      <c r="B4" s="490" t="s">
        <v>586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 s="492"/>
      <c r="AA4" s="493"/>
      <c r="AC4" s="9" t="s">
        <v>315</v>
      </c>
      <c r="AD4" s="10" t="s">
        <v>316</v>
      </c>
      <c r="AE4" s="10" t="s">
        <v>309</v>
      </c>
      <c r="AF4" s="396" t="s">
        <v>7</v>
      </c>
      <c r="AG4"/>
      <c r="AH4" s="495"/>
      <c r="AJ4" s="496"/>
      <c r="AK4" s="497"/>
    </row>
    <row r="5" spans="1:37" ht="49.5" customHeight="1">
      <c r="A5" s="2" t="s">
        <v>578</v>
      </c>
      <c r="B5" s="491" t="s">
        <v>583</v>
      </c>
      <c r="C5" s="23">
        <v>200</v>
      </c>
      <c r="D5" s="23">
        <v>400</v>
      </c>
      <c r="E5" s="34">
        <v>0</v>
      </c>
      <c r="F5" s="34">
        <v>8.35989</v>
      </c>
      <c r="G5" s="34">
        <f>F5-E5</f>
        <v>8.35989</v>
      </c>
      <c r="H5" s="34">
        <v>8.35989</v>
      </c>
      <c r="I5" s="34">
        <f>H5-F5</f>
        <v>0</v>
      </c>
      <c r="J5" s="34">
        <v>15.35989</v>
      </c>
      <c r="K5" s="25">
        <f>J5-H5</f>
        <v>7</v>
      </c>
      <c r="L5" s="34">
        <v>15.35989</v>
      </c>
      <c r="M5" s="34">
        <f>L5-J5</f>
        <v>0</v>
      </c>
      <c r="N5" s="34">
        <v>15.35989</v>
      </c>
      <c r="O5" s="34">
        <f>N5-L5</f>
        <v>0</v>
      </c>
      <c r="P5" s="34">
        <v>15.35989</v>
      </c>
      <c r="Q5" s="25">
        <f>P5-N5</f>
        <v>0</v>
      </c>
      <c r="R5" s="34">
        <v>15.35989</v>
      </c>
      <c r="S5" s="34">
        <f>R5-P5</f>
        <v>0</v>
      </c>
      <c r="T5" s="34"/>
      <c r="U5" s="34"/>
      <c r="V5" s="34"/>
      <c r="W5" s="34"/>
      <c r="X5" s="34"/>
      <c r="Y5" s="25">
        <f>E5+G5+I5+K5+M5+O5+Q5+S5+U5+W5</f>
        <v>15.35989</v>
      </c>
      <c r="Z5" s="494"/>
      <c r="AA5" s="494"/>
      <c r="AC5" s="13">
        <v>115</v>
      </c>
      <c r="AD5" s="14">
        <v>114.45</v>
      </c>
      <c r="AE5" s="26" t="e">
        <f>(AD5/#REF!)*100</f>
        <v>#REF!</v>
      </c>
      <c r="AF5" s="26">
        <f>(AD5/AC5)*100</f>
        <v>99.521739130434781</v>
      </c>
      <c r="AG5"/>
      <c r="AH5" s="501" t="s">
        <v>579</v>
      </c>
      <c r="AJ5" s="497"/>
      <c r="AK5" s="497"/>
    </row>
    <row r="6" spans="1:37" ht="14.25" customHeight="1">
      <c r="B6" s="41" t="s">
        <v>10</v>
      </c>
      <c r="C6" s="42">
        <f>C5</f>
        <v>200</v>
      </c>
      <c r="D6" s="42">
        <f>D5</f>
        <v>400</v>
      </c>
      <c r="E6" s="417">
        <f t="shared" ref="E6:W6" si="0">SUM(E5)</f>
        <v>0</v>
      </c>
      <c r="F6" s="417">
        <f t="shared" si="0"/>
        <v>8.35989</v>
      </c>
      <c r="G6" s="417">
        <f>SUM(G5)</f>
        <v>8.35989</v>
      </c>
      <c r="H6" s="417">
        <f t="shared" si="0"/>
        <v>8.35989</v>
      </c>
      <c r="I6" s="417">
        <f t="shared" si="0"/>
        <v>0</v>
      </c>
      <c r="J6" s="417">
        <f t="shared" si="0"/>
        <v>15.35989</v>
      </c>
      <c r="K6" s="417">
        <f t="shared" si="0"/>
        <v>7</v>
      </c>
      <c r="L6" s="417">
        <f t="shared" si="0"/>
        <v>15.35989</v>
      </c>
      <c r="M6" s="417">
        <f t="shared" si="0"/>
        <v>0</v>
      </c>
      <c r="N6" s="417">
        <f t="shared" si="0"/>
        <v>15.35989</v>
      </c>
      <c r="O6" s="417">
        <f t="shared" si="0"/>
        <v>0</v>
      </c>
      <c r="P6" s="417">
        <f t="shared" si="0"/>
        <v>15.35989</v>
      </c>
      <c r="Q6" s="417">
        <f t="shared" si="0"/>
        <v>0</v>
      </c>
      <c r="R6" s="417">
        <f t="shared" si="0"/>
        <v>15.35989</v>
      </c>
      <c r="S6" s="417">
        <f t="shared" si="0"/>
        <v>0</v>
      </c>
      <c r="T6" s="417">
        <f t="shared" si="0"/>
        <v>0</v>
      </c>
      <c r="U6" s="417">
        <f t="shared" si="0"/>
        <v>0</v>
      </c>
      <c r="V6" s="417">
        <f t="shared" si="0"/>
        <v>0</v>
      </c>
      <c r="W6" s="417">
        <f t="shared" si="0"/>
        <v>0</v>
      </c>
      <c r="X6" s="417"/>
      <c r="Y6" s="417">
        <f>SUM(Y5)</f>
        <v>15.35989</v>
      </c>
      <c r="Z6" s="41"/>
      <c r="AA6" s="41"/>
      <c r="AC6" s="19">
        <f>SUM(AC5)</f>
        <v>115</v>
      </c>
      <c r="AD6" s="20">
        <f>SUM(AD5)</f>
        <v>114.45</v>
      </c>
      <c r="AE6" s="18" t="e">
        <f>(AD6/#REF!)*100</f>
        <v>#REF!</v>
      </c>
      <c r="AF6" s="18">
        <f>(AD6/AC6)*100</f>
        <v>99.521739130434781</v>
      </c>
      <c r="AG6"/>
      <c r="AH6" s="499">
        <f>Y6</f>
        <v>15.35989</v>
      </c>
      <c r="AJ6" s="417"/>
      <c r="AK6" s="417"/>
    </row>
    <row r="7" spans="1:37" ht="17.25" customHeight="1"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95"/>
      <c r="AC7" s="5"/>
      <c r="AD7" s="6"/>
      <c r="AE7" s="6"/>
      <c r="AF7" s="395"/>
      <c r="AG7"/>
    </row>
    <row r="8" spans="1:37" ht="17.25" customHeight="1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95"/>
      <c r="AC8" s="5"/>
      <c r="AD8" s="6"/>
      <c r="AE8" s="6"/>
      <c r="AF8" s="395"/>
      <c r="AG8"/>
    </row>
  </sheetData>
  <conditionalFormatting sqref="Z4:AA6">
    <cfRule type="cellIs" dxfId="7" priority="3" operator="greaterThan">
      <formula>100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2.75" customHeight="1">
      <c r="A4" s="75" t="s">
        <v>313</v>
      </c>
      <c r="B4" s="488" t="s">
        <v>456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 ht="12.75" hidden="1" customHeight="1">
      <c r="B5" s="69"/>
      <c r="D5" s="5"/>
      <c r="E5" s="6"/>
      <c r="F5" s="6"/>
      <c r="G5" s="395"/>
      <c r="H5"/>
      <c r="I5" s="594"/>
    </row>
    <row r="6" spans="1:9">
      <c r="A6" s="75" t="s">
        <v>457</v>
      </c>
      <c r="B6" s="11" t="s">
        <v>345</v>
      </c>
      <c r="D6" s="13">
        <v>287</v>
      </c>
      <c r="E6" s="14">
        <v>282.49281999999999</v>
      </c>
      <c r="F6" s="26" t="e">
        <f>(E6/#REF!)*100</f>
        <v>#REF!</v>
      </c>
      <c r="G6" s="26">
        <f>(E6/D6)*100</f>
        <v>98.429554006968644</v>
      </c>
      <c r="H6"/>
      <c r="I6" s="589">
        <v>300</v>
      </c>
    </row>
    <row r="7" spans="1:9">
      <c r="B7" s="399" t="s">
        <v>458</v>
      </c>
      <c r="D7" s="23">
        <v>125</v>
      </c>
      <c r="E7" s="34">
        <v>123.00981</v>
      </c>
      <c r="F7" s="26" t="e">
        <f>(E7/#REF!)*100</f>
        <v>#REF!</v>
      </c>
      <c r="G7" s="26">
        <f>(E7/D7)*100</f>
        <v>98.407848000000001</v>
      </c>
      <c r="H7"/>
      <c r="I7" s="589">
        <v>120</v>
      </c>
    </row>
    <row r="8" spans="1:9">
      <c r="B8" s="573" t="s">
        <v>335</v>
      </c>
      <c r="D8" s="23">
        <v>188</v>
      </c>
      <c r="E8" s="34">
        <v>127.52544</v>
      </c>
      <c r="F8" s="26" t="e">
        <f>(E8/#REF!)*100</f>
        <v>#REF!</v>
      </c>
      <c r="G8" s="26">
        <f>(E8/D8)*100</f>
        <v>67.832680851063827</v>
      </c>
      <c r="H8"/>
      <c r="I8" s="589">
        <v>180</v>
      </c>
    </row>
    <row r="9" spans="1:9">
      <c r="B9" s="18" t="s">
        <v>10</v>
      </c>
      <c r="D9" s="19">
        <f>SUM(D6:D8)</f>
        <v>600</v>
      </c>
      <c r="E9" s="20">
        <f>SUM(E6:E8)</f>
        <v>533.02807000000007</v>
      </c>
      <c r="F9" s="18" t="e">
        <f>(E9/#REF!)*100</f>
        <v>#REF!</v>
      </c>
      <c r="G9" s="18">
        <f>(E9/D9)*100</f>
        <v>88.838011666666688</v>
      </c>
      <c r="H9"/>
      <c r="I9" s="590">
        <f>SUM(I6:I8)</f>
        <v>600</v>
      </c>
    </row>
    <row r="10" spans="1:9" ht="17.25" customHeight="1">
      <c r="B10" s="4"/>
      <c r="D10" s="5"/>
      <c r="E10" s="6"/>
      <c r="F10" s="6"/>
      <c r="G10" s="395"/>
      <c r="H10"/>
    </row>
    <row r="11" spans="1:9" ht="17.25" customHeight="1">
      <c r="B11" s="4"/>
      <c r="D11" s="5"/>
      <c r="E11" s="6"/>
      <c r="F11" s="6"/>
      <c r="G11" s="395"/>
      <c r="H11"/>
    </row>
    <row r="12" spans="1:9" ht="17.25" customHeight="1">
      <c r="B12" s="4"/>
      <c r="D12" s="5"/>
      <c r="E12" s="6"/>
      <c r="F12" s="6"/>
      <c r="G12" s="395"/>
      <c r="H12"/>
      <c r="I12" s="586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.75" customHeight="1">
      <c r="A4" s="75" t="s">
        <v>313</v>
      </c>
      <c r="B4" s="488" t="s">
        <v>459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460</v>
      </c>
      <c r="B5" s="11" t="s">
        <v>331</v>
      </c>
      <c r="D5" s="13">
        <v>1</v>
      </c>
      <c r="E5" s="14">
        <v>0.29099999999999998</v>
      </c>
      <c r="F5" s="26"/>
      <c r="G5" s="26">
        <f>(E5/D5)*100</f>
        <v>29.099999999999998</v>
      </c>
      <c r="H5"/>
      <c r="I5" s="594">
        <v>1</v>
      </c>
    </row>
    <row r="6" spans="1:9">
      <c r="B6" s="11" t="s">
        <v>345</v>
      </c>
      <c r="D6" s="23">
        <v>5</v>
      </c>
      <c r="E6" s="34"/>
      <c r="F6" s="26" t="e">
        <f>(E6/#REF!)*100</f>
        <v>#REF!</v>
      </c>
      <c r="G6" s="26">
        <f>(E6/D6)*100</f>
        <v>0</v>
      </c>
      <c r="H6"/>
      <c r="I6" s="589">
        <v>1</v>
      </c>
    </row>
    <row r="7" spans="1:9">
      <c r="B7" s="11" t="s">
        <v>461</v>
      </c>
      <c r="D7" s="23">
        <v>14</v>
      </c>
      <c r="E7" s="34">
        <v>1.97956</v>
      </c>
      <c r="F7" s="26" t="e">
        <f>(E7/#REF!)*100</f>
        <v>#REF!</v>
      </c>
      <c r="G7" s="26">
        <f>(E7/D7)*100</f>
        <v>14.139714285714286</v>
      </c>
      <c r="H7"/>
      <c r="I7" s="594">
        <v>13</v>
      </c>
    </row>
    <row r="8" spans="1:9">
      <c r="B8" s="18" t="s">
        <v>10</v>
      </c>
      <c r="D8" s="19">
        <f>SUM(D5:D7)</f>
        <v>20</v>
      </c>
      <c r="E8" s="20">
        <f>SUM(E5:E7)</f>
        <v>2.2705600000000001</v>
      </c>
      <c r="F8" s="18" t="e">
        <f>(E8/#REF!)*100</f>
        <v>#REF!</v>
      </c>
      <c r="G8" s="18">
        <f>(E8/D8)*100</f>
        <v>11.3528</v>
      </c>
      <c r="H8"/>
      <c r="I8" s="595">
        <f>SUM(I5:I7)</f>
        <v>15</v>
      </c>
    </row>
    <row r="9" spans="1:9" ht="17.25" customHeight="1">
      <c r="B9" s="4"/>
      <c r="D9" s="5"/>
      <c r="E9" s="6"/>
      <c r="F9" s="6"/>
      <c r="G9" s="395"/>
      <c r="H9"/>
      <c r="I9"/>
    </row>
    <row r="10" spans="1:9" ht="17.25" customHeight="1">
      <c r="B10" s="4"/>
      <c r="D10" s="5"/>
      <c r="E10" s="6"/>
      <c r="F10" s="6"/>
      <c r="G10" s="395"/>
      <c r="H10"/>
      <c r="I1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0.5" customHeight="1">
      <c r="B4" s="488" t="s">
        <v>687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463</v>
      </c>
      <c r="B5" s="11" t="s">
        <v>331</v>
      </c>
      <c r="D5" s="13">
        <v>1</v>
      </c>
      <c r="E5" s="14">
        <v>0.04</v>
      </c>
      <c r="F5" s="26"/>
      <c r="G5" s="26">
        <f>(E5/D5)*100</f>
        <v>4</v>
      </c>
      <c r="H5"/>
      <c r="I5" s="594">
        <v>1</v>
      </c>
    </row>
    <row r="6" spans="1:9">
      <c r="B6" s="11" t="s">
        <v>345</v>
      </c>
      <c r="D6" s="13">
        <v>40</v>
      </c>
      <c r="E6" s="14"/>
      <c r="F6" s="26" t="e">
        <f>(E6/#REF!)*100</f>
        <v>#REF!</v>
      </c>
      <c r="G6" s="26">
        <f>(E6/D6)*100</f>
        <v>0</v>
      </c>
      <c r="H6"/>
      <c r="I6" s="594">
        <v>9</v>
      </c>
    </row>
    <row r="7" spans="1:9" ht="18.75" customHeight="1">
      <c r="B7" s="399" t="s">
        <v>464</v>
      </c>
      <c r="D7" s="23">
        <v>2939</v>
      </c>
      <c r="E7" s="34">
        <v>2773.2150000000001</v>
      </c>
      <c r="F7" s="26" t="e">
        <f>(E7/#REF!)*100</f>
        <v>#REF!</v>
      </c>
      <c r="G7" s="26">
        <f>(E7/D7)*100</f>
        <v>94.359135760462749</v>
      </c>
      <c r="H7"/>
      <c r="I7" s="594">
        <v>3100</v>
      </c>
    </row>
    <row r="8" spans="1:9">
      <c r="B8" s="11" t="s">
        <v>335</v>
      </c>
      <c r="D8" s="13">
        <v>20</v>
      </c>
      <c r="E8" s="14">
        <v>19.170000000000002</v>
      </c>
      <c r="F8" s="26"/>
      <c r="G8" s="26">
        <f>(E8/D8)*100</f>
        <v>95.850000000000009</v>
      </c>
      <c r="H8"/>
      <c r="I8" s="594">
        <v>20</v>
      </c>
    </row>
    <row r="9" spans="1:9">
      <c r="B9" s="18" t="s">
        <v>10</v>
      </c>
      <c r="D9" s="19">
        <f>SUM(D5:D8)</f>
        <v>3000</v>
      </c>
      <c r="E9" s="20">
        <f>SUM(E5:E8)</f>
        <v>2792.4250000000002</v>
      </c>
      <c r="F9" s="18" t="e">
        <f>(E9/#REF!)*100</f>
        <v>#REF!</v>
      </c>
      <c r="G9" s="18">
        <f>(E9/D9)*100</f>
        <v>93.080833333333331</v>
      </c>
      <c r="H9"/>
      <c r="I9" s="595">
        <f>SUM(I5:I8)</f>
        <v>3130</v>
      </c>
    </row>
    <row r="10" spans="1:9" ht="17.25" customHeight="1">
      <c r="B10" s="4"/>
      <c r="D10" s="5"/>
      <c r="E10" s="6"/>
      <c r="F10" s="6"/>
      <c r="G10" s="395"/>
      <c r="H10"/>
      <c r="I10"/>
    </row>
    <row r="11" spans="1:9" ht="17.25" customHeight="1">
      <c r="B11" s="4"/>
      <c r="D11" s="5"/>
      <c r="E11" s="6"/>
      <c r="F11" s="6"/>
      <c r="G11" s="395"/>
      <c r="H11"/>
      <c r="I11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5"/>
  <sheetViews>
    <sheetView topLeftCell="A13" zoomScale="90" zoomScaleNormal="90" workbookViewId="0">
      <selection activeCell="C28" sqref="C28"/>
    </sheetView>
  </sheetViews>
  <sheetFormatPr defaultRowHeight="15"/>
  <cols>
    <col min="1" max="2" width="9.140625" style="130"/>
    <col min="3" max="3" width="53.42578125" style="130" customWidth="1"/>
    <col min="4" max="4" width="14.140625" style="142" customWidth="1"/>
    <col min="5" max="5" width="12.85546875" style="134" hidden="1" customWidth="1"/>
    <col min="6" max="16" width="11.140625" style="134" hidden="1" customWidth="1"/>
    <col min="17" max="17" width="12.42578125" style="134" customWidth="1"/>
    <col min="18" max="18" width="2.5703125" style="375" customWidth="1"/>
    <col min="19" max="30" width="15.42578125" style="130" hidden="1" customWidth="1"/>
    <col min="31" max="31" width="2.140625" style="138" customWidth="1"/>
    <col min="32" max="32" width="15.42578125" style="130" customWidth="1"/>
    <col min="33" max="33" width="13" style="130" customWidth="1"/>
    <col min="34" max="34" width="13.42578125" style="130" customWidth="1"/>
    <col min="35" max="35" width="17.7109375" style="130" customWidth="1"/>
    <col min="36" max="16384" width="9.140625" style="130"/>
  </cols>
  <sheetData>
    <row r="1" spans="1:35" ht="15" customHeight="1">
      <c r="A1" s="664" t="s">
        <v>281</v>
      </c>
      <c r="B1" s="665"/>
      <c r="C1" s="666"/>
      <c r="D1" s="145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8"/>
    </row>
    <row r="2" spans="1:35" ht="15" customHeight="1">
      <c r="A2" s="665"/>
      <c r="B2" s="665"/>
      <c r="C2" s="666"/>
      <c r="D2" s="145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8"/>
    </row>
    <row r="3" spans="1:35" ht="15" customHeight="1">
      <c r="A3" s="131"/>
      <c r="B3" s="131"/>
      <c r="C3" s="144"/>
      <c r="D3" s="1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8"/>
      <c r="AF3" s="502" t="s">
        <v>597</v>
      </c>
    </row>
    <row r="4" spans="1:35" ht="15" customHeight="1">
      <c r="A4" s="131"/>
      <c r="B4" s="131"/>
      <c r="C4" s="144"/>
      <c r="D4" s="146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8"/>
    </row>
    <row r="5" spans="1:35" ht="51" customHeight="1">
      <c r="A5" s="326"/>
      <c r="B5" s="326"/>
      <c r="C5" s="327"/>
      <c r="D5" s="129" t="s">
        <v>282</v>
      </c>
      <c r="E5" s="376" t="s">
        <v>298</v>
      </c>
      <c r="F5" s="376" t="s">
        <v>299</v>
      </c>
      <c r="G5" s="376" t="s">
        <v>297</v>
      </c>
      <c r="H5" s="376" t="s">
        <v>300</v>
      </c>
      <c r="I5" s="376" t="s">
        <v>301</v>
      </c>
      <c r="J5" s="376" t="s">
        <v>302</v>
      </c>
      <c r="K5" s="376" t="s">
        <v>303</v>
      </c>
      <c r="L5" s="376" t="s">
        <v>304</v>
      </c>
      <c r="M5" s="376" t="s">
        <v>305</v>
      </c>
      <c r="N5" s="376" t="s">
        <v>306</v>
      </c>
      <c r="O5" s="376" t="s">
        <v>307</v>
      </c>
      <c r="P5" s="376" t="s">
        <v>308</v>
      </c>
      <c r="Q5" s="376" t="s">
        <v>296</v>
      </c>
      <c r="R5" s="129"/>
      <c r="S5" s="129" t="s">
        <v>284</v>
      </c>
      <c r="T5" s="129" t="s">
        <v>285</v>
      </c>
      <c r="U5" s="129" t="s">
        <v>286</v>
      </c>
      <c r="V5" s="129" t="s">
        <v>287</v>
      </c>
      <c r="W5" s="129" t="s">
        <v>288</v>
      </c>
      <c r="X5" s="129" t="s">
        <v>289</v>
      </c>
      <c r="Y5" s="129" t="s">
        <v>290</v>
      </c>
      <c r="Z5" s="129" t="s">
        <v>291</v>
      </c>
      <c r="AA5" s="129" t="s">
        <v>292</v>
      </c>
      <c r="AB5" s="129" t="s">
        <v>293</v>
      </c>
      <c r="AC5" s="129" t="s">
        <v>294</v>
      </c>
      <c r="AD5" s="129" t="s">
        <v>295</v>
      </c>
      <c r="AE5" s="129"/>
      <c r="AF5" s="129" t="s">
        <v>283</v>
      </c>
      <c r="AG5" s="128" t="s">
        <v>154</v>
      </c>
      <c r="AH5" s="128" t="s">
        <v>155</v>
      </c>
      <c r="AI5" s="623" t="s">
        <v>706</v>
      </c>
    </row>
    <row r="6" spans="1:35" ht="18.75">
      <c r="A6" s="132" t="s">
        <v>5</v>
      </c>
      <c r="B6" s="133" t="s">
        <v>6</v>
      </c>
      <c r="C6" s="328" t="s">
        <v>762</v>
      </c>
      <c r="D6" s="328">
        <f t="shared" ref="D6:Q6" si="0">SUM(D7+D8+D9+D10+D11+D12+D13+D14+D15+D16+D19+D20+D21)</f>
        <v>39975</v>
      </c>
      <c r="E6" s="328">
        <f t="shared" si="0"/>
        <v>0</v>
      </c>
      <c r="F6" s="328">
        <f t="shared" si="0"/>
        <v>0</v>
      </c>
      <c r="G6" s="328">
        <f t="shared" si="0"/>
        <v>6392.74</v>
      </c>
      <c r="H6" s="328">
        <f t="shared" si="0"/>
        <v>0</v>
      </c>
      <c r="I6" s="328">
        <f t="shared" si="0"/>
        <v>0</v>
      </c>
      <c r="J6" s="328">
        <f t="shared" si="0"/>
        <v>0</v>
      </c>
      <c r="K6" s="328">
        <f t="shared" si="0"/>
        <v>0</v>
      </c>
      <c r="L6" s="328">
        <f t="shared" si="0"/>
        <v>300</v>
      </c>
      <c r="M6" s="328">
        <f t="shared" si="0"/>
        <v>0</v>
      </c>
      <c r="N6" s="328">
        <f t="shared" si="0"/>
        <v>800</v>
      </c>
      <c r="O6" s="328">
        <f t="shared" si="0"/>
        <v>0</v>
      </c>
      <c r="P6" s="328">
        <f t="shared" si="0"/>
        <v>0</v>
      </c>
      <c r="Q6" s="328">
        <f t="shared" si="0"/>
        <v>47467.74</v>
      </c>
      <c r="R6" s="329"/>
      <c r="S6" s="328">
        <f t="shared" ref="S6:AD6" si="1">SUM(S7+S8+S9+S10+S11+S12+S13+S14+S15+S16+S19+S20+S21)</f>
        <v>4347.9655599999996</v>
      </c>
      <c r="T6" s="328">
        <f t="shared" si="1"/>
        <v>4457.1649999999991</v>
      </c>
      <c r="U6" s="328">
        <f t="shared" si="1"/>
        <v>9594.6764799999983</v>
      </c>
      <c r="V6" s="328">
        <f t="shared" si="1"/>
        <v>3238.4830000000002</v>
      </c>
      <c r="W6" s="328">
        <f t="shared" si="1"/>
        <v>2951.4538599999996</v>
      </c>
      <c r="X6" s="328">
        <f t="shared" si="1"/>
        <v>4191.3580000000002</v>
      </c>
      <c r="Y6" s="328">
        <f t="shared" si="1"/>
        <v>4910.7939999999999</v>
      </c>
      <c r="Z6" s="328">
        <f t="shared" si="1"/>
        <v>3366.913</v>
      </c>
      <c r="AA6" s="328">
        <f t="shared" si="1"/>
        <v>3374.1410000000005</v>
      </c>
      <c r="AB6" s="328">
        <f t="shared" si="1"/>
        <v>2822.8707100000001</v>
      </c>
      <c r="AC6" s="328">
        <f t="shared" si="1"/>
        <v>0</v>
      </c>
      <c r="AD6" s="328">
        <f t="shared" si="1"/>
        <v>0</v>
      </c>
      <c r="AE6" s="329"/>
      <c r="AF6" s="377">
        <f>SUM(S6:AD6)</f>
        <v>43255.820610000002</v>
      </c>
      <c r="AG6" s="328">
        <f>(AF6/D6)*100</f>
        <v>108.20718101313322</v>
      </c>
      <c r="AH6" s="328">
        <f t="shared" ref="AH6:AH37" si="2">(AF6/Q6)*100</f>
        <v>91.126774963375141</v>
      </c>
      <c r="AI6" s="624">
        <f>AI7+AI8+AI9+AI10+AI11+AI12+AI13+AI14+AI15+AI16+AI19+AI20+AI21</f>
        <v>40615</v>
      </c>
    </row>
    <row r="7" spans="1:35">
      <c r="A7" s="133" t="s">
        <v>157</v>
      </c>
      <c r="B7" s="135">
        <v>1111</v>
      </c>
      <c r="C7" s="330" t="s">
        <v>44</v>
      </c>
      <c r="D7" s="330">
        <v>7800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>
        <f>SUM(D7:P7)</f>
        <v>7800</v>
      </c>
      <c r="R7" s="331"/>
      <c r="S7" s="330">
        <v>869.34761000000003</v>
      </c>
      <c r="T7" s="330">
        <v>754.87199999999996</v>
      </c>
      <c r="U7" s="330">
        <v>619.67499999999995</v>
      </c>
      <c r="V7" s="330">
        <v>415.27800000000002</v>
      </c>
      <c r="W7" s="330">
        <v>578.37300000000005</v>
      </c>
      <c r="X7" s="330">
        <v>705.85</v>
      </c>
      <c r="Y7" s="330">
        <v>811.38900000000001</v>
      </c>
      <c r="Z7" s="330">
        <v>766.20299999999997</v>
      </c>
      <c r="AA7" s="330">
        <v>693.58199999999999</v>
      </c>
      <c r="AB7" s="330">
        <v>730.26700000000005</v>
      </c>
      <c r="AC7" s="330"/>
      <c r="AD7" s="330"/>
      <c r="AE7" s="331"/>
      <c r="AF7" s="378">
        <f t="shared" ref="AF7:AF71" si="3">SUM(S7:AD7)</f>
        <v>6944.8366100000003</v>
      </c>
      <c r="AG7" s="328">
        <f t="shared" ref="AG7:AG70" si="4">(AF7/D7)*100</f>
        <v>89.036366794871796</v>
      </c>
      <c r="AH7" s="328">
        <f t="shared" si="2"/>
        <v>89.036366794871796</v>
      </c>
      <c r="AI7" s="625">
        <v>8000</v>
      </c>
    </row>
    <row r="8" spans="1:35">
      <c r="A8" s="133" t="s">
        <v>157</v>
      </c>
      <c r="B8" s="136">
        <v>1112</v>
      </c>
      <c r="C8" s="330" t="s">
        <v>45</v>
      </c>
      <c r="D8" s="330">
        <v>350</v>
      </c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>
        <f t="shared" ref="Q8:Q15" si="5">SUM(D8:P8)</f>
        <v>350</v>
      </c>
      <c r="R8" s="331"/>
      <c r="S8" s="330">
        <v>52.255580000000002</v>
      </c>
      <c r="T8" s="330">
        <v>11.164999999999999</v>
      </c>
      <c r="U8" s="330">
        <v>75.924999999999997</v>
      </c>
      <c r="V8" s="330">
        <v>1.86</v>
      </c>
      <c r="W8" s="332">
        <v>0</v>
      </c>
      <c r="X8" s="332">
        <v>0</v>
      </c>
      <c r="Y8" s="332">
        <v>0</v>
      </c>
      <c r="Z8" s="330">
        <v>109.815</v>
      </c>
      <c r="AA8" s="330">
        <v>50.442</v>
      </c>
      <c r="AB8" s="330">
        <v>17.928999999999998</v>
      </c>
      <c r="AC8" s="330"/>
      <c r="AD8" s="330"/>
      <c r="AE8" s="331"/>
      <c r="AF8" s="378">
        <f t="shared" si="3"/>
        <v>319.39157999999998</v>
      </c>
      <c r="AG8" s="328">
        <f t="shared" si="4"/>
        <v>91.254737142857138</v>
      </c>
      <c r="AH8" s="328">
        <f t="shared" si="2"/>
        <v>91.254737142857138</v>
      </c>
      <c r="AI8" s="625">
        <v>370</v>
      </c>
    </row>
    <row r="9" spans="1:35">
      <c r="A9" s="133" t="s">
        <v>157</v>
      </c>
      <c r="B9" s="136">
        <v>1113</v>
      </c>
      <c r="C9" s="330" t="s">
        <v>46</v>
      </c>
      <c r="D9" s="330">
        <v>700</v>
      </c>
      <c r="E9" s="330"/>
      <c r="F9" s="330"/>
      <c r="G9" s="330"/>
      <c r="H9" s="330"/>
      <c r="I9" s="330"/>
      <c r="J9" s="330"/>
      <c r="K9" s="330"/>
      <c r="L9" s="330"/>
      <c r="M9" s="330"/>
      <c r="N9" s="330">
        <v>300</v>
      </c>
      <c r="O9" s="330"/>
      <c r="P9" s="330"/>
      <c r="Q9" s="330">
        <f t="shared" si="5"/>
        <v>1000</v>
      </c>
      <c r="R9" s="331"/>
      <c r="S9" s="330">
        <v>68.554100000000005</v>
      </c>
      <c r="T9" s="330">
        <v>136.828</v>
      </c>
      <c r="U9" s="330">
        <v>50.93</v>
      </c>
      <c r="V9" s="330">
        <v>61.033000000000001</v>
      </c>
      <c r="W9" s="330">
        <v>66.724000000000004</v>
      </c>
      <c r="X9" s="330">
        <v>70.545000000000002</v>
      </c>
      <c r="Y9" s="330">
        <v>89.742999999999995</v>
      </c>
      <c r="Z9" s="330">
        <v>91.025000000000006</v>
      </c>
      <c r="AA9" s="330">
        <v>96.397000000000006</v>
      </c>
      <c r="AB9" s="330">
        <v>80.757000000000005</v>
      </c>
      <c r="AC9" s="330"/>
      <c r="AD9" s="330"/>
      <c r="AE9" s="331"/>
      <c r="AF9" s="378">
        <f t="shared" si="3"/>
        <v>812.53610000000003</v>
      </c>
      <c r="AG9" s="328">
        <f t="shared" si="4"/>
        <v>116.07658571428571</v>
      </c>
      <c r="AH9" s="328">
        <f t="shared" si="2"/>
        <v>81.253609999999995</v>
      </c>
      <c r="AI9" s="625">
        <v>1000</v>
      </c>
    </row>
    <row r="10" spans="1:35">
      <c r="A10" s="133" t="s">
        <v>157</v>
      </c>
      <c r="B10" s="136">
        <v>1121</v>
      </c>
      <c r="C10" s="330" t="s">
        <v>47</v>
      </c>
      <c r="D10" s="330">
        <v>7200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>
        <v>500</v>
      </c>
      <c r="O10" s="330"/>
      <c r="P10" s="330"/>
      <c r="Q10" s="330">
        <f t="shared" si="5"/>
        <v>7700</v>
      </c>
      <c r="R10" s="331"/>
      <c r="S10" s="330">
        <v>799.04377999999997</v>
      </c>
      <c r="T10" s="330">
        <v>63.509</v>
      </c>
      <c r="U10" s="330">
        <v>840.47</v>
      </c>
      <c r="V10" s="330">
        <v>1015.4690000000001</v>
      </c>
      <c r="W10" s="330">
        <v>2.4289999999999998</v>
      </c>
      <c r="X10" s="330">
        <v>904.15700000000004</v>
      </c>
      <c r="Y10" s="330">
        <v>2387.1950000000002</v>
      </c>
      <c r="Z10" s="332">
        <v>0</v>
      </c>
      <c r="AA10" s="330">
        <v>1164.432</v>
      </c>
      <c r="AB10" s="330">
        <v>305.79500000000002</v>
      </c>
      <c r="AC10" s="330"/>
      <c r="AD10" s="330"/>
      <c r="AE10" s="331"/>
      <c r="AF10" s="378">
        <f t="shared" si="3"/>
        <v>7482.499780000001</v>
      </c>
      <c r="AG10" s="328">
        <f t="shared" si="4"/>
        <v>103.92360805555556</v>
      </c>
      <c r="AH10" s="328">
        <f t="shared" si="2"/>
        <v>97.175321818181843</v>
      </c>
      <c r="AI10" s="625">
        <v>8000</v>
      </c>
    </row>
    <row r="11" spans="1:35">
      <c r="A11" s="133" t="s">
        <v>157</v>
      </c>
      <c r="B11" s="136">
        <v>1122</v>
      </c>
      <c r="C11" s="330" t="s">
        <v>48</v>
      </c>
      <c r="D11" s="332">
        <v>0</v>
      </c>
      <c r="E11" s="330"/>
      <c r="F11" s="330"/>
      <c r="G11" s="330">
        <v>6392.74</v>
      </c>
      <c r="H11" s="330"/>
      <c r="I11" s="330"/>
      <c r="J11" s="330"/>
      <c r="K11" s="330"/>
      <c r="L11" s="330"/>
      <c r="M11" s="330"/>
      <c r="N11" s="330"/>
      <c r="O11" s="330"/>
      <c r="P11" s="330"/>
      <c r="Q11" s="330">
        <f t="shared" si="5"/>
        <v>6392.74</v>
      </c>
      <c r="R11" s="331"/>
      <c r="S11" s="332">
        <v>0</v>
      </c>
      <c r="T11" s="332">
        <v>0</v>
      </c>
      <c r="U11" s="330">
        <v>6392.74</v>
      </c>
      <c r="V11" s="330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0"/>
      <c r="AD11" s="330"/>
      <c r="AE11" s="331"/>
      <c r="AF11" s="378">
        <f t="shared" si="3"/>
        <v>6392.74</v>
      </c>
      <c r="AG11" s="328">
        <v>0</v>
      </c>
      <c r="AH11" s="328">
        <f t="shared" si="2"/>
        <v>100</v>
      </c>
      <c r="AI11" s="625"/>
    </row>
    <row r="12" spans="1:35">
      <c r="A12" s="133" t="s">
        <v>157</v>
      </c>
      <c r="B12" s="136">
        <v>1211</v>
      </c>
      <c r="C12" s="330" t="s">
        <v>49</v>
      </c>
      <c r="D12" s="330">
        <v>17000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>
        <f t="shared" si="5"/>
        <v>17000</v>
      </c>
      <c r="R12" s="331"/>
      <c r="S12" s="330">
        <v>1550.9349999999999</v>
      </c>
      <c r="T12" s="330">
        <v>2591.2750000000001</v>
      </c>
      <c r="U12" s="330">
        <v>1048.3389999999999</v>
      </c>
      <c r="V12" s="330">
        <v>1064.8340000000001</v>
      </c>
      <c r="W12" s="330">
        <v>1570.4949999999999</v>
      </c>
      <c r="X12" s="330">
        <v>1037.595</v>
      </c>
      <c r="Y12" s="330">
        <v>1248.386</v>
      </c>
      <c r="Z12" s="330">
        <v>1978.2090000000001</v>
      </c>
      <c r="AA12" s="330">
        <v>1143.7260000000001</v>
      </c>
      <c r="AB12" s="330">
        <v>1251.3150000000001</v>
      </c>
      <c r="AC12" s="330"/>
      <c r="AD12" s="330"/>
      <c r="AE12" s="331"/>
      <c r="AF12" s="378">
        <f t="shared" si="3"/>
        <v>14485.109000000002</v>
      </c>
      <c r="AG12" s="328">
        <f t="shared" si="4"/>
        <v>85.206523529411783</v>
      </c>
      <c r="AH12" s="328">
        <f t="shared" si="2"/>
        <v>85.206523529411783</v>
      </c>
      <c r="AI12" s="625">
        <v>17000</v>
      </c>
    </row>
    <row r="13" spans="1:35">
      <c r="A13" s="133" t="s">
        <v>157</v>
      </c>
      <c r="B13" s="136">
        <v>1340</v>
      </c>
      <c r="C13" s="330" t="s">
        <v>50</v>
      </c>
      <c r="D13" s="330">
        <v>1982</v>
      </c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>
        <f t="shared" si="5"/>
        <v>1982</v>
      </c>
      <c r="R13" s="331"/>
      <c r="S13" s="330">
        <v>731.94200000000001</v>
      </c>
      <c r="T13" s="330">
        <v>743.01</v>
      </c>
      <c r="U13" s="330">
        <v>56.893000000000001</v>
      </c>
      <c r="V13" s="330">
        <v>386.83600000000001</v>
      </c>
      <c r="W13" s="330">
        <v>6.4740000000000002</v>
      </c>
      <c r="X13" s="330">
        <f>0.413-0.412+2.152</f>
        <v>2.153</v>
      </c>
      <c r="Y13" s="330">
        <f>1.1+0.55</f>
        <v>1.6500000000000001</v>
      </c>
      <c r="Z13" s="330">
        <v>-0.20300000000000001</v>
      </c>
      <c r="AA13" s="330">
        <f>1.468-0.32</f>
        <v>1.1479999999999999</v>
      </c>
      <c r="AB13" s="330">
        <v>1.746</v>
      </c>
      <c r="AC13" s="330"/>
      <c r="AD13" s="330"/>
      <c r="AE13" s="331"/>
      <c r="AF13" s="378">
        <f t="shared" si="3"/>
        <v>1931.6490000000001</v>
      </c>
      <c r="AG13" s="328">
        <f t="shared" si="4"/>
        <v>97.459586276488395</v>
      </c>
      <c r="AH13" s="328">
        <f t="shared" si="2"/>
        <v>97.459586276488395</v>
      </c>
      <c r="AI13" s="625">
        <v>2000</v>
      </c>
    </row>
    <row r="14" spans="1:35">
      <c r="A14" s="133" t="s">
        <v>157</v>
      </c>
      <c r="B14" s="136">
        <v>1341</v>
      </c>
      <c r="C14" s="330" t="s">
        <v>51</v>
      </c>
      <c r="D14" s="330">
        <v>93</v>
      </c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>
        <f t="shared" si="5"/>
        <v>93</v>
      </c>
      <c r="R14" s="331"/>
      <c r="S14" s="330">
        <v>58.817</v>
      </c>
      <c r="T14" s="330">
        <v>28.038</v>
      </c>
      <c r="U14" s="330">
        <v>2.2650000000000001</v>
      </c>
      <c r="V14" s="330">
        <v>0</v>
      </c>
      <c r="W14" s="330">
        <v>0.45</v>
      </c>
      <c r="X14" s="330">
        <f>0.3+0.44</f>
        <v>0.74</v>
      </c>
      <c r="Y14" s="332">
        <v>0</v>
      </c>
      <c r="Z14" s="332">
        <v>0</v>
      </c>
      <c r="AA14" s="332">
        <v>0</v>
      </c>
      <c r="AB14" s="330">
        <v>3.7999999999999999E-2</v>
      </c>
      <c r="AC14" s="330"/>
      <c r="AD14" s="330"/>
      <c r="AE14" s="331"/>
      <c r="AF14" s="378">
        <f t="shared" si="3"/>
        <v>90.347999999999999</v>
      </c>
      <c r="AG14" s="328">
        <f t="shared" si="4"/>
        <v>97.148387096774186</v>
      </c>
      <c r="AH14" s="328">
        <f t="shared" si="2"/>
        <v>97.148387096774186</v>
      </c>
      <c r="AI14" s="625">
        <v>95</v>
      </c>
    </row>
    <row r="15" spans="1:35">
      <c r="A15" s="133" t="s">
        <v>157</v>
      </c>
      <c r="B15" s="136">
        <v>1343</v>
      </c>
      <c r="C15" s="330" t="s">
        <v>52</v>
      </c>
      <c r="D15" s="330">
        <v>200</v>
      </c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>
        <f t="shared" si="5"/>
        <v>200</v>
      </c>
      <c r="R15" s="331"/>
      <c r="S15" s="330">
        <v>0.44</v>
      </c>
      <c r="T15" s="330">
        <v>0.88</v>
      </c>
      <c r="U15" s="330">
        <v>3.29</v>
      </c>
      <c r="V15" s="330">
        <v>2.66</v>
      </c>
      <c r="W15" s="330">
        <v>152.04</v>
      </c>
      <c r="X15" s="330">
        <f>3.07+1.1</f>
        <v>4.17</v>
      </c>
      <c r="Y15" s="330">
        <f>5.47+5+10</f>
        <v>20.47</v>
      </c>
      <c r="Z15" s="330">
        <v>3.44</v>
      </c>
      <c r="AA15" s="330">
        <v>2.4</v>
      </c>
      <c r="AB15" s="330">
        <v>5.21</v>
      </c>
      <c r="AC15" s="330"/>
      <c r="AD15" s="330"/>
      <c r="AE15" s="331"/>
      <c r="AF15" s="378">
        <f t="shared" si="3"/>
        <v>195</v>
      </c>
      <c r="AG15" s="328">
        <f t="shared" si="4"/>
        <v>97.5</v>
      </c>
      <c r="AH15" s="328">
        <f t="shared" si="2"/>
        <v>97.5</v>
      </c>
      <c r="AI15" s="625">
        <v>200</v>
      </c>
    </row>
    <row r="16" spans="1:35">
      <c r="A16" s="137"/>
      <c r="B16" s="333"/>
      <c r="C16" s="388" t="s">
        <v>53</v>
      </c>
      <c r="D16" s="330">
        <f>SUM(D17+D18)</f>
        <v>700</v>
      </c>
      <c r="E16" s="330">
        <f t="shared" ref="E16:Q16" si="6">SUM(E17:E18)</f>
        <v>0</v>
      </c>
      <c r="F16" s="330">
        <f t="shared" si="6"/>
        <v>0</v>
      </c>
      <c r="G16" s="330">
        <f t="shared" si="6"/>
        <v>0</v>
      </c>
      <c r="H16" s="330">
        <f t="shared" si="6"/>
        <v>0</v>
      </c>
      <c r="I16" s="330">
        <f t="shared" si="6"/>
        <v>0</v>
      </c>
      <c r="J16" s="330">
        <f t="shared" si="6"/>
        <v>0</v>
      </c>
      <c r="K16" s="330">
        <f t="shared" si="6"/>
        <v>0</v>
      </c>
      <c r="L16" s="330">
        <f t="shared" si="6"/>
        <v>300</v>
      </c>
      <c r="M16" s="330">
        <f t="shared" si="6"/>
        <v>0</v>
      </c>
      <c r="N16" s="330">
        <f t="shared" si="6"/>
        <v>0</v>
      </c>
      <c r="O16" s="330">
        <f t="shared" si="6"/>
        <v>0</v>
      </c>
      <c r="P16" s="330">
        <f t="shared" si="6"/>
        <v>0</v>
      </c>
      <c r="Q16" s="330">
        <f t="shared" si="6"/>
        <v>1000</v>
      </c>
      <c r="R16" s="331"/>
      <c r="S16" s="330">
        <f t="shared" ref="S16:AD16" si="7">SUM(S17:S18)</f>
        <v>0.83004999999999995</v>
      </c>
      <c r="T16" s="330">
        <f t="shared" si="7"/>
        <v>2.6469999999999998</v>
      </c>
      <c r="U16" s="330">
        <f t="shared" si="7"/>
        <v>282.04647999999997</v>
      </c>
      <c r="V16" s="330">
        <f t="shared" si="7"/>
        <v>0</v>
      </c>
      <c r="W16" s="330">
        <f t="shared" si="7"/>
        <v>287.81286</v>
      </c>
      <c r="X16" s="332">
        <f t="shared" si="7"/>
        <v>0</v>
      </c>
      <c r="Y16" s="330">
        <f t="shared" si="7"/>
        <v>1.512</v>
      </c>
      <c r="Z16" s="330">
        <f t="shared" si="7"/>
        <v>142.84200000000001</v>
      </c>
      <c r="AA16" s="330">
        <f t="shared" si="7"/>
        <v>1.794</v>
      </c>
      <c r="AB16" s="330">
        <f t="shared" si="7"/>
        <v>72.129710000000003</v>
      </c>
      <c r="AC16" s="330">
        <f t="shared" si="7"/>
        <v>0</v>
      </c>
      <c r="AD16" s="330">
        <f t="shared" si="7"/>
        <v>0</v>
      </c>
      <c r="AE16" s="331"/>
      <c r="AF16" s="378">
        <f t="shared" si="3"/>
        <v>791.61409999999989</v>
      </c>
      <c r="AG16" s="328">
        <f t="shared" si="4"/>
        <v>113.08772857142854</v>
      </c>
      <c r="AH16" s="328">
        <f t="shared" si="2"/>
        <v>79.161409999999989</v>
      </c>
      <c r="AI16" s="626">
        <f>SUM(AI17:AI18)</f>
        <v>200</v>
      </c>
    </row>
    <row r="17" spans="1:35">
      <c r="A17" s="133" t="s">
        <v>157</v>
      </c>
      <c r="B17" s="136">
        <v>1347</v>
      </c>
      <c r="C17" s="334" t="s">
        <v>631</v>
      </c>
      <c r="D17" s="341">
        <v>0</v>
      </c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>
        <f>SUM(D17:P17)</f>
        <v>0</v>
      </c>
      <c r="R17" s="336"/>
      <c r="S17" s="389">
        <v>0</v>
      </c>
      <c r="T17" s="389">
        <v>0</v>
      </c>
      <c r="U17" s="389">
        <v>0</v>
      </c>
      <c r="V17" s="389">
        <v>0</v>
      </c>
      <c r="W17" s="389">
        <v>0</v>
      </c>
      <c r="X17" s="389">
        <v>0</v>
      </c>
      <c r="Y17" s="389">
        <v>0</v>
      </c>
      <c r="Z17" s="389">
        <v>0</v>
      </c>
      <c r="AA17" s="389">
        <v>0</v>
      </c>
      <c r="AB17" s="389">
        <v>0</v>
      </c>
      <c r="AC17" s="336"/>
      <c r="AD17" s="336"/>
      <c r="AE17" s="336"/>
      <c r="AF17" s="379">
        <f t="shared" si="3"/>
        <v>0</v>
      </c>
      <c r="AG17" s="389">
        <v>0</v>
      </c>
      <c r="AH17" s="336" t="e">
        <f t="shared" si="2"/>
        <v>#DIV/0!</v>
      </c>
      <c r="AI17" s="628"/>
    </row>
    <row r="18" spans="1:35">
      <c r="A18" s="133" t="s">
        <v>157</v>
      </c>
      <c r="B18" s="136">
        <v>1351</v>
      </c>
      <c r="C18" s="334" t="s">
        <v>158</v>
      </c>
      <c r="D18" s="335">
        <v>700</v>
      </c>
      <c r="E18" s="336"/>
      <c r="F18" s="336"/>
      <c r="G18" s="336"/>
      <c r="H18" s="336"/>
      <c r="I18" s="336"/>
      <c r="J18" s="336"/>
      <c r="K18" s="336"/>
      <c r="L18" s="336">
        <v>300</v>
      </c>
      <c r="M18" s="336"/>
      <c r="N18" s="336"/>
      <c r="O18" s="336"/>
      <c r="P18" s="336"/>
      <c r="Q18" s="336">
        <f>SUM(D18:P18)</f>
        <v>1000</v>
      </c>
      <c r="R18" s="336"/>
      <c r="S18" s="336">
        <v>0.83004999999999995</v>
      </c>
      <c r="T18" s="336">
        <v>2.6469999999999998</v>
      </c>
      <c r="U18" s="336">
        <v>282.04647999999997</v>
      </c>
      <c r="V18" s="336">
        <v>0</v>
      </c>
      <c r="W18" s="336">
        <v>287.81286</v>
      </c>
      <c r="X18" s="389">
        <v>0</v>
      </c>
      <c r="Y18" s="336">
        <v>1.512</v>
      </c>
      <c r="Z18" s="336">
        <v>142.84200000000001</v>
      </c>
      <c r="AA18" s="336">
        <v>1.794</v>
      </c>
      <c r="AB18" s="336">
        <v>72.129710000000003</v>
      </c>
      <c r="AC18" s="336"/>
      <c r="AD18" s="336"/>
      <c r="AE18" s="336"/>
      <c r="AF18" s="379">
        <f t="shared" si="3"/>
        <v>791.61409999999989</v>
      </c>
      <c r="AG18" s="336">
        <f t="shared" si="4"/>
        <v>113.08772857142854</v>
      </c>
      <c r="AH18" s="336">
        <f t="shared" si="2"/>
        <v>79.161409999999989</v>
      </c>
      <c r="AI18" s="628">
        <v>200</v>
      </c>
    </row>
    <row r="19" spans="1:35">
      <c r="A19" s="133" t="s">
        <v>157</v>
      </c>
      <c r="B19" s="136">
        <v>1361</v>
      </c>
      <c r="C19" s="330" t="s">
        <v>54</v>
      </c>
      <c r="D19" s="330">
        <v>2100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>
        <f>SUM(D19:P19)</f>
        <v>2100</v>
      </c>
      <c r="R19" s="331"/>
      <c r="S19" s="330">
        <v>133.52000000000001</v>
      </c>
      <c r="T19" s="330">
        <v>120.22</v>
      </c>
      <c r="U19" s="330">
        <v>177.26499999999999</v>
      </c>
      <c r="V19" s="330">
        <v>267.95499999999998</v>
      </c>
      <c r="W19" s="330">
        <v>222.215</v>
      </c>
      <c r="X19" s="330">
        <f>116.81+1.75+12.85+2+7.52+42.05+0.25+0.2-0.1+20</f>
        <v>203.33</v>
      </c>
      <c r="Y19" s="330">
        <f>123.735+0.7+15+6.49+40.2+57+0.3</f>
        <v>243.42500000000001</v>
      </c>
      <c r="Z19" s="330">
        <f>249.61-0.55</f>
        <v>249.06</v>
      </c>
      <c r="AA19" s="330">
        <v>178.71</v>
      </c>
      <c r="AB19" s="330">
        <v>240.82499999999999</v>
      </c>
      <c r="AC19" s="330"/>
      <c r="AD19" s="330"/>
      <c r="AE19" s="331"/>
      <c r="AF19" s="380">
        <f t="shared" si="3"/>
        <v>2036.5250000000001</v>
      </c>
      <c r="AG19" s="328">
        <f t="shared" si="4"/>
        <v>96.977380952380955</v>
      </c>
      <c r="AH19" s="328">
        <f t="shared" si="2"/>
        <v>96.977380952380955</v>
      </c>
      <c r="AI19" s="625">
        <v>2000</v>
      </c>
    </row>
    <row r="20" spans="1:35">
      <c r="A20" s="133" t="s">
        <v>157</v>
      </c>
      <c r="B20" s="136">
        <v>1511</v>
      </c>
      <c r="C20" s="388" t="s">
        <v>761</v>
      </c>
      <c r="D20" s="330">
        <v>1500</v>
      </c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>
        <f>SUM(D20:P20)</f>
        <v>1500</v>
      </c>
      <c r="R20" s="331"/>
      <c r="S20" s="330">
        <v>12.02844</v>
      </c>
      <c r="T20" s="330">
        <v>3.4710000000000001</v>
      </c>
      <c r="U20" s="330">
        <v>7.9480000000000004</v>
      </c>
      <c r="V20" s="330">
        <v>47.847999999999999</v>
      </c>
      <c r="W20" s="330">
        <v>7.4409999999999998</v>
      </c>
      <c r="X20" s="330">
        <v>1267.2180000000001</v>
      </c>
      <c r="Y20" s="330">
        <v>71.731999999999999</v>
      </c>
      <c r="Z20" s="330">
        <v>32.671999999999997</v>
      </c>
      <c r="AA20" s="330">
        <v>34.51</v>
      </c>
      <c r="AB20" s="330">
        <v>85.245000000000005</v>
      </c>
      <c r="AC20" s="330"/>
      <c r="AD20" s="330"/>
      <c r="AE20" s="331"/>
      <c r="AF20" s="380">
        <f t="shared" si="3"/>
        <v>1570.1134400000001</v>
      </c>
      <c r="AG20" s="328">
        <f t="shared" si="4"/>
        <v>104.67422933333334</v>
      </c>
      <c r="AH20" s="328">
        <f t="shared" si="2"/>
        <v>104.67422933333334</v>
      </c>
      <c r="AI20" s="625">
        <v>1500</v>
      </c>
    </row>
    <row r="21" spans="1:35">
      <c r="A21" s="137"/>
      <c r="B21" s="136"/>
      <c r="C21" s="330" t="s">
        <v>55</v>
      </c>
      <c r="D21" s="330">
        <f t="shared" ref="D21:Q21" si="8">SUM(D22:D26)</f>
        <v>350</v>
      </c>
      <c r="E21" s="330">
        <f t="shared" si="8"/>
        <v>0</v>
      </c>
      <c r="F21" s="330">
        <f t="shared" si="8"/>
        <v>0</v>
      </c>
      <c r="G21" s="330">
        <f t="shared" si="8"/>
        <v>0</v>
      </c>
      <c r="H21" s="330">
        <f t="shared" si="8"/>
        <v>0</v>
      </c>
      <c r="I21" s="330">
        <f t="shared" si="8"/>
        <v>0</v>
      </c>
      <c r="J21" s="330">
        <f t="shared" si="8"/>
        <v>0</v>
      </c>
      <c r="K21" s="330">
        <f t="shared" si="8"/>
        <v>0</v>
      </c>
      <c r="L21" s="330">
        <f t="shared" si="8"/>
        <v>0</v>
      </c>
      <c r="M21" s="330">
        <f t="shared" si="8"/>
        <v>0</v>
      </c>
      <c r="N21" s="330">
        <f t="shared" si="8"/>
        <v>0</v>
      </c>
      <c r="O21" s="330">
        <f t="shared" si="8"/>
        <v>0</v>
      </c>
      <c r="P21" s="330">
        <f t="shared" si="8"/>
        <v>0</v>
      </c>
      <c r="Q21" s="330">
        <f t="shared" si="8"/>
        <v>350</v>
      </c>
      <c r="R21" s="331"/>
      <c r="S21" s="330">
        <f t="shared" ref="S21:AD21" si="9">SUM(S22:S26)</f>
        <v>70.251999999999995</v>
      </c>
      <c r="T21" s="330">
        <f t="shared" si="9"/>
        <v>1.25</v>
      </c>
      <c r="U21" s="330">
        <f t="shared" si="9"/>
        <v>36.89</v>
      </c>
      <c r="V21" s="330">
        <f t="shared" si="9"/>
        <v>-25.29</v>
      </c>
      <c r="W21" s="330">
        <f t="shared" si="9"/>
        <v>57</v>
      </c>
      <c r="X21" s="330">
        <f t="shared" si="9"/>
        <v>-4.4000000000000004</v>
      </c>
      <c r="Y21" s="330">
        <f t="shared" si="9"/>
        <v>35.292000000000002</v>
      </c>
      <c r="Z21" s="330">
        <f t="shared" si="9"/>
        <v>-6.15</v>
      </c>
      <c r="AA21" s="330">
        <f t="shared" si="9"/>
        <v>7</v>
      </c>
      <c r="AB21" s="330">
        <f t="shared" si="9"/>
        <v>31.614000000000001</v>
      </c>
      <c r="AC21" s="330">
        <f t="shared" si="9"/>
        <v>0</v>
      </c>
      <c r="AD21" s="330">
        <f t="shared" si="9"/>
        <v>0</v>
      </c>
      <c r="AE21" s="331"/>
      <c r="AF21" s="380">
        <f t="shared" si="3"/>
        <v>203.458</v>
      </c>
      <c r="AG21" s="328">
        <f t="shared" si="4"/>
        <v>58.130857142857138</v>
      </c>
      <c r="AH21" s="328">
        <f t="shared" si="2"/>
        <v>58.130857142857138</v>
      </c>
      <c r="AI21" s="626">
        <f>SUM(AI24:AI26)</f>
        <v>250</v>
      </c>
    </row>
    <row r="22" spans="1:35" s="138" customFormat="1" hidden="1">
      <c r="A22" s="147" t="s">
        <v>157</v>
      </c>
      <c r="B22" s="148">
        <v>1334</v>
      </c>
      <c r="C22" s="337" t="s">
        <v>632</v>
      </c>
      <c r="D22" s="341">
        <v>0</v>
      </c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>
        <f>SUM(D22:P22)</f>
        <v>0</v>
      </c>
      <c r="R22" s="338"/>
      <c r="S22" s="389">
        <v>0</v>
      </c>
      <c r="T22" s="389">
        <v>0</v>
      </c>
      <c r="U22" s="389">
        <v>0</v>
      </c>
      <c r="V22" s="339">
        <v>0</v>
      </c>
      <c r="W22" s="389">
        <v>0</v>
      </c>
      <c r="X22" s="389">
        <v>0</v>
      </c>
      <c r="Y22" s="389">
        <v>0</v>
      </c>
      <c r="Z22" s="389">
        <v>0</v>
      </c>
      <c r="AA22" s="339"/>
      <c r="AB22" s="339"/>
      <c r="AC22" s="339"/>
      <c r="AD22" s="339"/>
      <c r="AE22" s="339"/>
      <c r="AF22" s="379">
        <f t="shared" si="3"/>
        <v>0</v>
      </c>
      <c r="AG22" s="340">
        <v>0</v>
      </c>
      <c r="AH22" s="340" t="e">
        <f t="shared" si="2"/>
        <v>#DIV/0!</v>
      </c>
      <c r="AI22" s="625"/>
    </row>
    <row r="23" spans="1:35" hidden="1">
      <c r="A23" s="133" t="s">
        <v>157</v>
      </c>
      <c r="B23" s="136">
        <v>1342</v>
      </c>
      <c r="C23" s="337" t="s">
        <v>159</v>
      </c>
      <c r="D23" s="341">
        <v>0</v>
      </c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8">
        <f>SUM(D23:P23)</f>
        <v>0</v>
      </c>
      <c r="R23" s="336"/>
      <c r="S23" s="389">
        <v>0</v>
      </c>
      <c r="T23" s="389">
        <v>0</v>
      </c>
      <c r="U23" s="389">
        <v>0</v>
      </c>
      <c r="V23" s="340">
        <v>0</v>
      </c>
      <c r="W23" s="389">
        <v>0</v>
      </c>
      <c r="X23" s="389">
        <v>0</v>
      </c>
      <c r="Y23" s="389">
        <v>0</v>
      </c>
      <c r="Z23" s="389">
        <v>0</v>
      </c>
      <c r="AA23" s="340"/>
      <c r="AB23" s="340"/>
      <c r="AC23" s="340"/>
      <c r="AD23" s="340"/>
      <c r="AE23" s="340"/>
      <c r="AF23" s="379">
        <f t="shared" si="3"/>
        <v>0</v>
      </c>
      <c r="AG23" s="340">
        <v>0</v>
      </c>
      <c r="AH23" s="340" t="e">
        <f t="shared" si="2"/>
        <v>#DIV/0!</v>
      </c>
      <c r="AI23" s="625"/>
    </row>
    <row r="24" spans="1:35">
      <c r="A24" s="133" t="s">
        <v>157</v>
      </c>
      <c r="B24" s="136">
        <v>1344</v>
      </c>
      <c r="C24" s="337" t="s">
        <v>160</v>
      </c>
      <c r="D24" s="335">
        <v>350</v>
      </c>
      <c r="E24" s="336">
        <v>-60</v>
      </c>
      <c r="F24" s="336"/>
      <c r="G24" s="336">
        <v>-10</v>
      </c>
      <c r="H24" s="336"/>
      <c r="I24" s="336"/>
      <c r="J24" s="336"/>
      <c r="K24" s="336">
        <v>-40</v>
      </c>
      <c r="L24" s="336"/>
      <c r="M24" s="336"/>
      <c r="N24" s="336"/>
      <c r="O24" s="336"/>
      <c r="P24" s="336"/>
      <c r="Q24" s="338">
        <f>SUM(D24:P24)</f>
        <v>240</v>
      </c>
      <c r="R24" s="336"/>
      <c r="S24" s="340">
        <v>11.35</v>
      </c>
      <c r="T24" s="340">
        <v>28.25</v>
      </c>
      <c r="U24" s="340">
        <v>3.7</v>
      </c>
      <c r="V24" s="340">
        <v>13.9</v>
      </c>
      <c r="W24" s="342">
        <v>21</v>
      </c>
      <c r="X24" s="340">
        <v>4.5999999999999996</v>
      </c>
      <c r="Y24" s="340">
        <v>2.0499999999999998</v>
      </c>
      <c r="Z24" s="340">
        <v>3.85</v>
      </c>
      <c r="AA24" s="340">
        <v>8</v>
      </c>
      <c r="AB24" s="340">
        <v>15.45</v>
      </c>
      <c r="AC24" s="340"/>
      <c r="AD24" s="340"/>
      <c r="AE24" s="340"/>
      <c r="AF24" s="379">
        <f t="shared" si="3"/>
        <v>112.14999999999999</v>
      </c>
      <c r="AG24" s="342">
        <f t="shared" si="4"/>
        <v>32.042857142857137</v>
      </c>
      <c r="AH24" s="342">
        <f t="shared" si="2"/>
        <v>46.729166666666657</v>
      </c>
      <c r="AI24" s="628">
        <v>200</v>
      </c>
    </row>
    <row r="25" spans="1:35">
      <c r="A25" s="133" t="s">
        <v>157</v>
      </c>
      <c r="B25" s="136">
        <v>1345</v>
      </c>
      <c r="C25" s="337" t="s">
        <v>161</v>
      </c>
      <c r="D25" s="341">
        <v>0</v>
      </c>
      <c r="E25" s="336">
        <v>2</v>
      </c>
      <c r="F25" s="336"/>
      <c r="G25" s="336"/>
      <c r="H25" s="336"/>
      <c r="I25" s="336"/>
      <c r="J25" s="336"/>
      <c r="K25" s="336">
        <v>8</v>
      </c>
      <c r="L25" s="336"/>
      <c r="M25" s="336"/>
      <c r="N25" s="336"/>
      <c r="O25" s="336"/>
      <c r="P25" s="336"/>
      <c r="Q25" s="338">
        <f>SUM(D25:P25)</f>
        <v>10</v>
      </c>
      <c r="R25" s="336"/>
      <c r="S25" s="342">
        <v>0.90200000000000002</v>
      </c>
      <c r="T25" s="342">
        <v>0</v>
      </c>
      <c r="U25" s="342">
        <v>0.19</v>
      </c>
      <c r="V25" s="342">
        <v>0.81</v>
      </c>
      <c r="W25" s="389">
        <v>0</v>
      </c>
      <c r="X25" s="389">
        <v>0</v>
      </c>
      <c r="Y25" s="342">
        <v>1.242</v>
      </c>
      <c r="Z25" s="389">
        <v>0</v>
      </c>
      <c r="AA25" s="389">
        <v>0</v>
      </c>
      <c r="AB25" s="342">
        <v>1.1639999999999999</v>
      </c>
      <c r="AC25" s="342"/>
      <c r="AD25" s="342"/>
      <c r="AE25" s="342"/>
      <c r="AF25" s="379">
        <f t="shared" si="3"/>
        <v>4.3079999999999998</v>
      </c>
      <c r="AG25" s="340">
        <v>0</v>
      </c>
      <c r="AH25" s="340">
        <f t="shared" si="2"/>
        <v>43.08</v>
      </c>
      <c r="AI25" s="628">
        <v>25</v>
      </c>
    </row>
    <row r="26" spans="1:35">
      <c r="A26" s="133" t="s">
        <v>157</v>
      </c>
      <c r="B26" s="136">
        <v>1359</v>
      </c>
      <c r="C26" s="337" t="s">
        <v>162</v>
      </c>
      <c r="D26" s="341">
        <v>0</v>
      </c>
      <c r="E26" s="336">
        <v>58</v>
      </c>
      <c r="F26" s="336"/>
      <c r="G26" s="336">
        <v>10</v>
      </c>
      <c r="H26" s="336"/>
      <c r="I26" s="336"/>
      <c r="J26" s="336"/>
      <c r="K26" s="336">
        <v>32</v>
      </c>
      <c r="L26" s="336"/>
      <c r="M26" s="336"/>
      <c r="N26" s="336"/>
      <c r="O26" s="336"/>
      <c r="P26" s="336"/>
      <c r="Q26" s="338">
        <f>SUM(D26:P26)</f>
        <v>100</v>
      </c>
      <c r="R26" s="336"/>
      <c r="S26" s="342">
        <v>58</v>
      </c>
      <c r="T26" s="342">
        <v>-27</v>
      </c>
      <c r="U26" s="342">
        <v>33</v>
      </c>
      <c r="V26" s="342">
        <v>-40</v>
      </c>
      <c r="W26" s="342">
        <v>36</v>
      </c>
      <c r="X26" s="342">
        <f>15-24</f>
        <v>-9</v>
      </c>
      <c r="Y26" s="342">
        <f>47-15</f>
        <v>32</v>
      </c>
      <c r="Z26" s="342">
        <v>-10</v>
      </c>
      <c r="AA26" s="342">
        <v>-1</v>
      </c>
      <c r="AB26" s="342">
        <v>15</v>
      </c>
      <c r="AC26" s="342"/>
      <c r="AD26" s="342"/>
      <c r="AE26" s="342"/>
      <c r="AF26" s="379">
        <f t="shared" si="3"/>
        <v>87</v>
      </c>
      <c r="AG26" s="340">
        <v>0</v>
      </c>
      <c r="AH26" s="340">
        <f t="shared" si="2"/>
        <v>87</v>
      </c>
      <c r="AI26" s="628">
        <v>25</v>
      </c>
    </row>
    <row r="27" spans="1:35" ht="18.75">
      <c r="A27" s="137"/>
      <c r="B27" s="333"/>
      <c r="C27" s="343" t="s">
        <v>782</v>
      </c>
      <c r="D27" s="343">
        <f t="shared" ref="D27:Q27" si="10">SUM(D28+D29+D30+D33+D34+D35+D36+D37+D38+D41)</f>
        <v>30195.5</v>
      </c>
      <c r="E27" s="343">
        <f t="shared" si="10"/>
        <v>0</v>
      </c>
      <c r="F27" s="343">
        <f t="shared" si="10"/>
        <v>0</v>
      </c>
      <c r="G27" s="343">
        <f t="shared" si="10"/>
        <v>0</v>
      </c>
      <c r="H27" s="343">
        <f t="shared" si="10"/>
        <v>120</v>
      </c>
      <c r="I27" s="343">
        <f t="shared" si="10"/>
        <v>0</v>
      </c>
      <c r="J27" s="343">
        <f t="shared" si="10"/>
        <v>0</v>
      </c>
      <c r="K27" s="343">
        <f t="shared" si="10"/>
        <v>1936.81</v>
      </c>
      <c r="L27" s="343">
        <f t="shared" si="10"/>
        <v>590</v>
      </c>
      <c r="M27" s="343">
        <f t="shared" si="10"/>
        <v>0</v>
      </c>
      <c r="N27" s="343">
        <f t="shared" si="10"/>
        <v>0</v>
      </c>
      <c r="O27" s="343">
        <f t="shared" si="10"/>
        <v>0</v>
      </c>
      <c r="P27" s="343">
        <f t="shared" si="10"/>
        <v>0</v>
      </c>
      <c r="Q27" s="343">
        <f t="shared" si="10"/>
        <v>32842.31</v>
      </c>
      <c r="R27" s="329"/>
      <c r="S27" s="343">
        <f t="shared" ref="S27:AD27" si="11">SUM(S28+S29+S30+S33+S34+S35+S36+S37+S38+S41)</f>
        <v>1913.70262</v>
      </c>
      <c r="T27" s="343">
        <f t="shared" si="11"/>
        <v>2937.1674800000001</v>
      </c>
      <c r="U27" s="343">
        <f t="shared" si="11"/>
        <v>1689.8231799999999</v>
      </c>
      <c r="V27" s="343">
        <f t="shared" si="11"/>
        <v>5472.9315100000003</v>
      </c>
      <c r="W27" s="343">
        <f t="shared" si="11"/>
        <v>1475.5326599999999</v>
      </c>
      <c r="X27" s="343">
        <f t="shared" si="11"/>
        <v>2648.6901699999999</v>
      </c>
      <c r="Y27" s="343">
        <f t="shared" si="11"/>
        <v>2293.4004999999997</v>
      </c>
      <c r="Z27" s="343">
        <f t="shared" si="11"/>
        <v>2540.7846100000006</v>
      </c>
      <c r="AA27" s="343">
        <f t="shared" si="11"/>
        <v>2495.8541700000001</v>
      </c>
      <c r="AB27" s="343">
        <f t="shared" si="11"/>
        <v>3995.48029</v>
      </c>
      <c r="AC27" s="343">
        <f t="shared" si="11"/>
        <v>0</v>
      </c>
      <c r="AD27" s="343">
        <f t="shared" si="11"/>
        <v>0</v>
      </c>
      <c r="AE27" s="329"/>
      <c r="AF27" s="381">
        <f t="shared" si="3"/>
        <v>27463.367189999997</v>
      </c>
      <c r="AG27" s="344">
        <f t="shared" si="4"/>
        <v>90.951854382275499</v>
      </c>
      <c r="AH27" s="344">
        <f t="shared" si="2"/>
        <v>83.621910852190368</v>
      </c>
      <c r="AI27" s="624">
        <f>AI28+AI29+AI30+AI33+AI34+AI35+AI36+AI37+AI38+AI41</f>
        <v>34392</v>
      </c>
    </row>
    <row r="28" spans="1:35">
      <c r="A28" s="133" t="s">
        <v>163</v>
      </c>
      <c r="B28" s="136">
        <v>2111</v>
      </c>
      <c r="C28" s="345" t="s">
        <v>59</v>
      </c>
      <c r="D28" s="345">
        <v>5500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>
        <f>SUM(D28:P28)</f>
        <v>5500</v>
      </c>
      <c r="R28" s="331"/>
      <c r="S28" s="345">
        <v>29.257999999999999</v>
      </c>
      <c r="T28" s="345">
        <v>10.8</v>
      </c>
      <c r="U28" s="345">
        <v>84.614999999999995</v>
      </c>
      <c r="V28" s="345">
        <v>3981.3932199999999</v>
      </c>
      <c r="W28" s="345">
        <v>7.54</v>
      </c>
      <c r="X28" s="345">
        <v>0.54500000000000004</v>
      </c>
      <c r="Y28" s="345">
        <v>341.92430000000002</v>
      </c>
      <c r="Z28" s="345">
        <v>145.79741999999999</v>
      </c>
      <c r="AA28" s="568">
        <v>0</v>
      </c>
      <c r="AB28" s="345">
        <v>1281.97</v>
      </c>
      <c r="AC28" s="345"/>
      <c r="AD28" s="345"/>
      <c r="AE28" s="331"/>
      <c r="AF28" s="382">
        <f t="shared" si="3"/>
        <v>5883.8429399999995</v>
      </c>
      <c r="AG28" s="345">
        <f t="shared" si="4"/>
        <v>106.97896254545454</v>
      </c>
      <c r="AH28" s="345">
        <f t="shared" si="2"/>
        <v>106.97896254545454</v>
      </c>
      <c r="AI28" s="625">
        <v>6000</v>
      </c>
    </row>
    <row r="29" spans="1:35">
      <c r="A29" s="133" t="s">
        <v>164</v>
      </c>
      <c r="B29" s="136">
        <v>2111</v>
      </c>
      <c r="C29" s="345" t="s">
        <v>60</v>
      </c>
      <c r="D29" s="345">
        <v>40</v>
      </c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>
        <f>SUM(D29:P29)</f>
        <v>40</v>
      </c>
      <c r="R29" s="331"/>
      <c r="S29" s="345">
        <v>2.46</v>
      </c>
      <c r="T29" s="345">
        <v>1.82</v>
      </c>
      <c r="U29" s="345">
        <v>2.96</v>
      </c>
      <c r="V29" s="345">
        <v>2.64</v>
      </c>
      <c r="W29" s="345">
        <v>1.76</v>
      </c>
      <c r="X29" s="345">
        <v>1.54</v>
      </c>
      <c r="Y29" s="345">
        <v>1.59</v>
      </c>
      <c r="Z29" s="345">
        <v>1.74</v>
      </c>
      <c r="AA29" s="345">
        <v>2.5640000000000001</v>
      </c>
      <c r="AB29" s="345">
        <v>2.04</v>
      </c>
      <c r="AC29" s="345"/>
      <c r="AD29" s="345"/>
      <c r="AE29" s="331"/>
      <c r="AF29" s="382">
        <f t="shared" si="3"/>
        <v>21.113999999999997</v>
      </c>
      <c r="AG29" s="345">
        <f t="shared" si="4"/>
        <v>52.784999999999997</v>
      </c>
      <c r="AH29" s="345">
        <f t="shared" si="2"/>
        <v>52.784999999999997</v>
      </c>
      <c r="AI29" s="625">
        <v>30</v>
      </c>
    </row>
    <row r="30" spans="1:35">
      <c r="A30" s="346"/>
      <c r="B30" s="136"/>
      <c r="C30" s="345" t="s">
        <v>61</v>
      </c>
      <c r="D30" s="345">
        <f>SUM(D31+D32)</f>
        <v>500</v>
      </c>
      <c r="E30" s="345">
        <f t="shared" ref="E30:Q30" si="12">SUM(E31:E32)</f>
        <v>0</v>
      </c>
      <c r="F30" s="345">
        <f t="shared" si="12"/>
        <v>0</v>
      </c>
      <c r="G30" s="345">
        <f t="shared" si="12"/>
        <v>0</v>
      </c>
      <c r="H30" s="345">
        <f t="shared" si="12"/>
        <v>0</v>
      </c>
      <c r="I30" s="345">
        <f t="shared" si="12"/>
        <v>0</v>
      </c>
      <c r="J30" s="345">
        <f t="shared" si="12"/>
        <v>0</v>
      </c>
      <c r="K30" s="345">
        <f t="shared" si="12"/>
        <v>0</v>
      </c>
      <c r="L30" s="345">
        <f t="shared" si="12"/>
        <v>0</v>
      </c>
      <c r="M30" s="345">
        <f t="shared" si="12"/>
        <v>0</v>
      </c>
      <c r="N30" s="345">
        <f t="shared" si="12"/>
        <v>0</v>
      </c>
      <c r="O30" s="345">
        <f t="shared" si="12"/>
        <v>0</v>
      </c>
      <c r="P30" s="345">
        <f t="shared" si="12"/>
        <v>0</v>
      </c>
      <c r="Q30" s="345">
        <f t="shared" si="12"/>
        <v>500</v>
      </c>
      <c r="R30" s="331"/>
      <c r="S30" s="345">
        <f t="shared" ref="S30:AD30" si="13">SUM(S31:S32)</f>
        <v>27.168999999999997</v>
      </c>
      <c r="T30" s="345">
        <f t="shared" si="13"/>
        <v>9.3260000000000005</v>
      </c>
      <c r="U30" s="345">
        <f t="shared" si="13"/>
        <v>29.966000000000001</v>
      </c>
      <c r="V30" s="345">
        <f t="shared" si="13"/>
        <v>52.891000000000005</v>
      </c>
      <c r="W30" s="345">
        <f t="shared" si="13"/>
        <v>26.409500000000001</v>
      </c>
      <c r="X30" s="345">
        <f t="shared" si="13"/>
        <v>83.543000000000006</v>
      </c>
      <c r="Y30" s="345">
        <f t="shared" si="13"/>
        <v>49.710680000000004</v>
      </c>
      <c r="Z30" s="345">
        <f t="shared" si="13"/>
        <v>45.681849999999997</v>
      </c>
      <c r="AA30" s="345">
        <f t="shared" si="13"/>
        <v>42.393999999999998</v>
      </c>
      <c r="AB30" s="345">
        <f t="shared" si="13"/>
        <v>51.966000000000001</v>
      </c>
      <c r="AC30" s="345">
        <f t="shared" si="13"/>
        <v>0</v>
      </c>
      <c r="AD30" s="345">
        <f t="shared" si="13"/>
        <v>0</v>
      </c>
      <c r="AE30" s="331"/>
      <c r="AF30" s="382">
        <f t="shared" si="3"/>
        <v>419.05703000000005</v>
      </c>
      <c r="AG30" s="345">
        <f t="shared" si="4"/>
        <v>83.811406000000005</v>
      </c>
      <c r="AH30" s="345">
        <f t="shared" si="2"/>
        <v>83.811406000000005</v>
      </c>
      <c r="AI30" s="626">
        <f>SUM(AI31:AI32)</f>
        <v>700</v>
      </c>
    </row>
    <row r="31" spans="1:35">
      <c r="A31" s="133" t="s">
        <v>165</v>
      </c>
      <c r="B31" s="136">
        <v>2111</v>
      </c>
      <c r="C31" s="337" t="s">
        <v>633</v>
      </c>
      <c r="D31" s="347">
        <v>250</v>
      </c>
      <c r="E31" s="347"/>
      <c r="F31" s="347"/>
      <c r="G31" s="347"/>
      <c r="H31" s="347"/>
      <c r="I31" s="347"/>
      <c r="J31" s="347"/>
      <c r="K31" s="347"/>
      <c r="L31" s="347"/>
      <c r="M31" s="347">
        <v>50</v>
      </c>
      <c r="N31" s="347"/>
      <c r="O31" s="347"/>
      <c r="P31" s="347"/>
      <c r="Q31" s="347">
        <f t="shared" ref="Q31:Q37" si="14">SUM(D31:P31)</f>
        <v>300</v>
      </c>
      <c r="R31" s="347"/>
      <c r="S31" s="347">
        <v>21.908999999999999</v>
      </c>
      <c r="T31" s="347">
        <v>6.7160000000000002</v>
      </c>
      <c r="U31" s="347">
        <v>24.922000000000001</v>
      </c>
      <c r="V31" s="347">
        <v>48.423000000000002</v>
      </c>
      <c r="W31" s="347">
        <v>17.4315</v>
      </c>
      <c r="X31" s="347">
        <v>69.727000000000004</v>
      </c>
      <c r="Y31" s="347">
        <f>7.308+0.405+18.92668</f>
        <v>26.639680000000002</v>
      </c>
      <c r="Z31" s="347">
        <v>18.444849999999999</v>
      </c>
      <c r="AA31" s="347">
        <v>16.135999999999999</v>
      </c>
      <c r="AB31" s="347">
        <v>43.24</v>
      </c>
      <c r="AC31" s="347"/>
      <c r="AD31" s="347"/>
      <c r="AE31" s="347"/>
      <c r="AF31" s="383">
        <f t="shared" si="3"/>
        <v>293.58902999999998</v>
      </c>
      <c r="AG31" s="347">
        <f t="shared" si="4"/>
        <v>117.43561199999999</v>
      </c>
      <c r="AH31" s="347">
        <f t="shared" si="2"/>
        <v>97.863009999999989</v>
      </c>
      <c r="AI31" s="628">
        <v>350</v>
      </c>
    </row>
    <row r="32" spans="1:35">
      <c r="A32" s="133" t="s">
        <v>165</v>
      </c>
      <c r="B32" s="136">
        <v>2112</v>
      </c>
      <c r="C32" s="337" t="s">
        <v>166</v>
      </c>
      <c r="D32" s="347">
        <v>250</v>
      </c>
      <c r="E32" s="347"/>
      <c r="F32" s="347"/>
      <c r="G32" s="347"/>
      <c r="H32" s="347"/>
      <c r="I32" s="347"/>
      <c r="J32" s="347"/>
      <c r="K32" s="347"/>
      <c r="L32" s="347"/>
      <c r="M32" s="347">
        <v>-50</v>
      </c>
      <c r="N32" s="347"/>
      <c r="O32" s="347"/>
      <c r="P32" s="347"/>
      <c r="Q32" s="347">
        <f t="shared" si="14"/>
        <v>200</v>
      </c>
      <c r="R32" s="347"/>
      <c r="S32" s="347">
        <v>5.26</v>
      </c>
      <c r="T32" s="347">
        <v>2.61</v>
      </c>
      <c r="U32" s="347">
        <v>5.0439999999999996</v>
      </c>
      <c r="V32" s="347">
        <v>4.468</v>
      </c>
      <c r="W32" s="347">
        <v>8.9779999999999998</v>
      </c>
      <c r="X32" s="347">
        <v>13.816000000000001</v>
      </c>
      <c r="Y32" s="347">
        <v>23.071000000000002</v>
      </c>
      <c r="Z32" s="347">
        <v>27.236999999999998</v>
      </c>
      <c r="AA32" s="347">
        <v>26.257999999999999</v>
      </c>
      <c r="AB32" s="347">
        <v>8.7260000000000009</v>
      </c>
      <c r="AC32" s="347"/>
      <c r="AD32" s="347"/>
      <c r="AE32" s="347"/>
      <c r="AF32" s="383">
        <f t="shared" si="3"/>
        <v>125.46799999999999</v>
      </c>
      <c r="AG32" s="347">
        <f t="shared" si="4"/>
        <v>50.187199999999997</v>
      </c>
      <c r="AH32" s="347">
        <f t="shared" si="2"/>
        <v>62.733999999999988</v>
      </c>
      <c r="AI32" s="628">
        <v>350</v>
      </c>
    </row>
    <row r="33" spans="1:36">
      <c r="A33" s="133" t="s">
        <v>167</v>
      </c>
      <c r="B33" s="136">
        <v>2132</v>
      </c>
      <c r="C33" s="345" t="s">
        <v>58</v>
      </c>
      <c r="D33" s="345">
        <v>12300</v>
      </c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>
        <f t="shared" si="14"/>
        <v>12300</v>
      </c>
      <c r="R33" s="331"/>
      <c r="S33" s="345">
        <v>1066.232</v>
      </c>
      <c r="T33" s="345">
        <v>1392.636</v>
      </c>
      <c r="U33" s="345">
        <v>1192.94</v>
      </c>
      <c r="V33" s="345">
        <v>838.30200000000002</v>
      </c>
      <c r="W33" s="345">
        <f>1142.51766-695.235</f>
        <v>447.28265999999996</v>
      </c>
      <c r="X33" s="546">
        <f>1041.45-4.591</f>
        <v>1036.8590000000002</v>
      </c>
      <c r="Y33" s="345">
        <f>89.621+10+1020.871+6.826-28.336-6.405</f>
        <v>1092.577</v>
      </c>
      <c r="Z33" s="345">
        <f>1111.247-0.55</f>
        <v>1110.6970000000001</v>
      </c>
      <c r="AA33" s="345">
        <v>1087.6500000000001</v>
      </c>
      <c r="AB33" s="345">
        <v>1082.5340000000001</v>
      </c>
      <c r="AC33" s="345"/>
      <c r="AD33" s="345"/>
      <c r="AE33" s="331"/>
      <c r="AF33" s="382">
        <f t="shared" si="3"/>
        <v>10347.70966</v>
      </c>
      <c r="AG33" s="345">
        <f t="shared" si="4"/>
        <v>84.127720813008139</v>
      </c>
      <c r="AH33" s="345">
        <f t="shared" si="2"/>
        <v>84.127720813008139</v>
      </c>
      <c r="AI33" s="625">
        <v>12000</v>
      </c>
    </row>
    <row r="34" spans="1:36">
      <c r="A34" s="133" t="s">
        <v>168</v>
      </c>
      <c r="B34" s="136">
        <v>2111</v>
      </c>
      <c r="C34" s="345" t="s">
        <v>62</v>
      </c>
      <c r="D34" s="345">
        <v>150</v>
      </c>
      <c r="E34" s="345"/>
      <c r="F34" s="345"/>
      <c r="G34" s="345"/>
      <c r="H34" s="345"/>
      <c r="I34" s="345"/>
      <c r="J34" s="345"/>
      <c r="K34" s="345"/>
      <c r="L34" s="345">
        <v>50</v>
      </c>
      <c r="M34" s="345"/>
      <c r="N34" s="345"/>
      <c r="O34" s="345"/>
      <c r="P34" s="345"/>
      <c r="Q34" s="345">
        <f t="shared" si="14"/>
        <v>200</v>
      </c>
      <c r="R34" s="331"/>
      <c r="S34" s="345">
        <v>38.909999999999997</v>
      </c>
      <c r="T34" s="345">
        <v>31.4</v>
      </c>
      <c r="U34" s="345">
        <v>13.110099999999999</v>
      </c>
      <c r="V34" s="345">
        <v>15.96</v>
      </c>
      <c r="W34" s="345">
        <v>19.38</v>
      </c>
      <c r="X34" s="345">
        <v>8.5500000000000007</v>
      </c>
      <c r="Y34" s="345">
        <f>1.11+7.95+0.98+7</f>
        <v>17.04</v>
      </c>
      <c r="Z34" s="345">
        <v>10.83</v>
      </c>
      <c r="AA34" s="345">
        <v>11.4</v>
      </c>
      <c r="AB34" s="345">
        <v>9.0280000000000005</v>
      </c>
      <c r="AC34" s="345"/>
      <c r="AD34" s="345"/>
      <c r="AE34" s="331"/>
      <c r="AF34" s="382">
        <f t="shared" si="3"/>
        <v>175.60810000000001</v>
      </c>
      <c r="AG34" s="345">
        <f t="shared" si="4"/>
        <v>117.07206666666667</v>
      </c>
      <c r="AH34" s="345">
        <f t="shared" si="2"/>
        <v>87.804050000000004</v>
      </c>
      <c r="AI34" s="625">
        <v>200</v>
      </c>
    </row>
    <row r="35" spans="1:36">
      <c r="A35" s="133" t="s">
        <v>169</v>
      </c>
      <c r="B35" s="136">
        <v>2111</v>
      </c>
      <c r="C35" s="345" t="s">
        <v>63</v>
      </c>
      <c r="D35" s="345">
        <v>100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>
        <f t="shared" si="14"/>
        <v>100</v>
      </c>
      <c r="R35" s="331"/>
      <c r="S35" s="345">
        <v>8.9600000000000009</v>
      </c>
      <c r="T35" s="345">
        <v>7.76</v>
      </c>
      <c r="U35" s="345">
        <v>8.7509999999999994</v>
      </c>
      <c r="V35" s="345">
        <v>9.0850000000000009</v>
      </c>
      <c r="W35" s="345">
        <v>8.8490000000000002</v>
      </c>
      <c r="X35" s="345">
        <v>6.8970000000000002</v>
      </c>
      <c r="Y35" s="345">
        <v>6.484</v>
      </c>
      <c r="Z35" s="345">
        <v>8.4390000000000001</v>
      </c>
      <c r="AA35" s="345">
        <v>8.5850000000000009</v>
      </c>
      <c r="AB35" s="345">
        <v>7.633</v>
      </c>
      <c r="AC35" s="345"/>
      <c r="AD35" s="345"/>
      <c r="AE35" s="331"/>
      <c r="AF35" s="382">
        <f t="shared" si="3"/>
        <v>81.442999999999998</v>
      </c>
      <c r="AG35" s="345">
        <f t="shared" si="4"/>
        <v>81.442999999999998</v>
      </c>
      <c r="AH35" s="345">
        <f t="shared" si="2"/>
        <v>81.442999999999998</v>
      </c>
      <c r="AI35" s="625">
        <v>100</v>
      </c>
    </row>
    <row r="36" spans="1:36">
      <c r="A36" s="133" t="s">
        <v>170</v>
      </c>
      <c r="B36" s="136">
        <v>2131</v>
      </c>
      <c r="C36" s="345" t="s">
        <v>56</v>
      </c>
      <c r="D36" s="345">
        <v>380</v>
      </c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>
        <f t="shared" si="14"/>
        <v>380</v>
      </c>
      <c r="R36" s="331"/>
      <c r="S36" s="345">
        <v>7.0270000000000001</v>
      </c>
      <c r="T36" s="345">
        <v>25.832999999999998</v>
      </c>
      <c r="U36" s="345">
        <v>14.991</v>
      </c>
      <c r="V36" s="345">
        <v>12.301</v>
      </c>
      <c r="W36" s="345">
        <v>13.612</v>
      </c>
      <c r="X36" s="345">
        <v>58.893999999999998</v>
      </c>
      <c r="Y36" s="345">
        <f>2.639+11.542</f>
        <v>14.180999999999999</v>
      </c>
      <c r="Z36" s="345">
        <f>2.55-1.089</f>
        <v>1.4609999999999999</v>
      </c>
      <c r="AA36" s="345">
        <v>4.2249999999999996</v>
      </c>
      <c r="AB36" s="345">
        <v>1</v>
      </c>
      <c r="AC36" s="345"/>
      <c r="AD36" s="345"/>
      <c r="AE36" s="331"/>
      <c r="AF36" s="382">
        <f t="shared" si="3"/>
        <v>153.52500000000001</v>
      </c>
      <c r="AG36" s="345">
        <f t="shared" si="4"/>
        <v>40.401315789473685</v>
      </c>
      <c r="AH36" s="345">
        <f t="shared" si="2"/>
        <v>40.401315789473685</v>
      </c>
      <c r="AI36" s="625">
        <v>200</v>
      </c>
    </row>
    <row r="37" spans="1:36">
      <c r="A37" s="133" t="s">
        <v>170</v>
      </c>
      <c r="B37" s="136">
        <v>2132</v>
      </c>
      <c r="C37" s="345" t="s">
        <v>57</v>
      </c>
      <c r="D37" s="345">
        <v>1000</v>
      </c>
      <c r="E37" s="345"/>
      <c r="F37" s="345"/>
      <c r="G37" s="345"/>
      <c r="H37" s="345"/>
      <c r="I37" s="345"/>
      <c r="J37" s="345"/>
      <c r="K37" s="345">
        <v>500</v>
      </c>
      <c r="L37" s="345"/>
      <c r="M37" s="345"/>
      <c r="N37" s="345"/>
      <c r="O37" s="345"/>
      <c r="P37" s="345"/>
      <c r="Q37" s="345">
        <f t="shared" si="14"/>
        <v>1500</v>
      </c>
      <c r="R37" s="331"/>
      <c r="S37" s="345">
        <v>105.43300000000001</v>
      </c>
      <c r="T37" s="345">
        <v>108.82374</v>
      </c>
      <c r="U37" s="345">
        <v>59.262</v>
      </c>
      <c r="V37" s="345">
        <v>243.33500000000001</v>
      </c>
      <c r="W37" s="345">
        <f>362.81346-29.40264</f>
        <v>333.41082</v>
      </c>
      <c r="X37" s="345">
        <f>103.46874+5.5924</f>
        <v>109.06113999999999</v>
      </c>
      <c r="Y37" s="345">
        <f>13.004+2.432+76.436+34.683+73.689</f>
        <v>200.244</v>
      </c>
      <c r="Z37" s="345">
        <f>34.34-10.0958</f>
        <v>24.244200000000003</v>
      </c>
      <c r="AA37" s="345">
        <v>119.667</v>
      </c>
      <c r="AB37" s="345">
        <v>120.239</v>
      </c>
      <c r="AC37" s="345"/>
      <c r="AD37" s="345"/>
      <c r="AE37" s="331"/>
      <c r="AF37" s="382">
        <f t="shared" si="3"/>
        <v>1423.7199000000001</v>
      </c>
      <c r="AG37" s="345">
        <f t="shared" si="4"/>
        <v>142.37199000000001</v>
      </c>
      <c r="AH37" s="345">
        <f t="shared" si="2"/>
        <v>94.914660000000012</v>
      </c>
      <c r="AI37" s="625">
        <v>1600</v>
      </c>
    </row>
    <row r="38" spans="1:36">
      <c r="A38" s="137"/>
      <c r="B38" s="136"/>
      <c r="C38" s="345" t="s">
        <v>171</v>
      </c>
      <c r="D38" s="345">
        <f t="shared" ref="D38:I38" si="15">SUM(D39+D40)</f>
        <v>80</v>
      </c>
      <c r="E38" s="345">
        <f t="shared" si="15"/>
        <v>0</v>
      </c>
      <c r="F38" s="345">
        <f t="shared" si="15"/>
        <v>0</v>
      </c>
      <c r="G38" s="345">
        <f t="shared" si="15"/>
        <v>0</v>
      </c>
      <c r="H38" s="345">
        <f t="shared" si="15"/>
        <v>0</v>
      </c>
      <c r="I38" s="345">
        <f t="shared" si="15"/>
        <v>0</v>
      </c>
      <c r="J38" s="345">
        <f t="shared" ref="J38:Q38" si="16">SUM(J39+J40)</f>
        <v>0</v>
      </c>
      <c r="K38" s="345">
        <f t="shared" si="16"/>
        <v>0</v>
      </c>
      <c r="L38" s="345">
        <f t="shared" si="16"/>
        <v>0</v>
      </c>
      <c r="M38" s="345">
        <f t="shared" si="16"/>
        <v>0</v>
      </c>
      <c r="N38" s="345">
        <f t="shared" si="16"/>
        <v>0</v>
      </c>
      <c r="O38" s="345">
        <f t="shared" si="16"/>
        <v>0</v>
      </c>
      <c r="P38" s="345">
        <f t="shared" si="16"/>
        <v>0</v>
      </c>
      <c r="Q38" s="345">
        <f t="shared" si="16"/>
        <v>80</v>
      </c>
      <c r="R38" s="331"/>
      <c r="S38" s="345">
        <f>SUM(S39+S40)</f>
        <v>5.2560199999999995</v>
      </c>
      <c r="T38" s="345">
        <f t="shared" ref="T38:AD38" si="17">SUM(T39+T40)</f>
        <v>5.1455700000000002</v>
      </c>
      <c r="U38" s="345">
        <f t="shared" si="17"/>
        <v>5.2184999999999997</v>
      </c>
      <c r="V38" s="345">
        <f t="shared" si="17"/>
        <v>2.9384700000000001</v>
      </c>
      <c r="W38" s="345">
        <f t="shared" si="17"/>
        <v>2.5351400000000002</v>
      </c>
      <c r="X38" s="345">
        <f t="shared" si="17"/>
        <v>1.94502</v>
      </c>
      <c r="Y38" s="345">
        <f t="shared" si="17"/>
        <v>2.0859200000000002</v>
      </c>
      <c r="Z38" s="345">
        <f t="shared" si="17"/>
        <v>2.1491400000000001</v>
      </c>
      <c r="AA38" s="345">
        <f t="shared" si="17"/>
        <v>1.52417</v>
      </c>
      <c r="AB38" s="345">
        <f t="shared" si="17"/>
        <v>1.92879</v>
      </c>
      <c r="AC38" s="345">
        <f t="shared" si="17"/>
        <v>0</v>
      </c>
      <c r="AD38" s="345">
        <f t="shared" si="17"/>
        <v>0</v>
      </c>
      <c r="AE38" s="331"/>
      <c r="AF38" s="382">
        <f t="shared" si="3"/>
        <v>30.726739999999999</v>
      </c>
      <c r="AG38" s="345">
        <f t="shared" si="4"/>
        <v>38.408425000000001</v>
      </c>
      <c r="AH38" s="345">
        <f t="shared" ref="AH38:AH70" si="18">(AF38/Q38)*100</f>
        <v>38.408425000000001</v>
      </c>
      <c r="AI38" s="626">
        <f>SUM(AI39:AI40)</f>
        <v>50</v>
      </c>
    </row>
    <row r="39" spans="1:36">
      <c r="A39" s="133" t="s">
        <v>172</v>
      </c>
      <c r="B39" s="136">
        <v>2141</v>
      </c>
      <c r="C39" s="348" t="s">
        <v>171</v>
      </c>
      <c r="D39" s="347">
        <v>75</v>
      </c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>
        <f>SUM(D39:P39)</f>
        <v>75</v>
      </c>
      <c r="R39" s="347"/>
      <c r="S39" s="347">
        <v>4.6989099999999997</v>
      </c>
      <c r="T39" s="347">
        <v>4.5994900000000003</v>
      </c>
      <c r="U39" s="347">
        <v>5.2184999999999997</v>
      </c>
      <c r="V39" s="347">
        <v>2.9384700000000001</v>
      </c>
      <c r="W39" s="347">
        <v>2.5351400000000002</v>
      </c>
      <c r="X39" s="347">
        <v>1.94502</v>
      </c>
      <c r="Y39" s="347">
        <v>2.0859200000000002</v>
      </c>
      <c r="Z39" s="347">
        <v>2.1491400000000001</v>
      </c>
      <c r="AA39" s="347">
        <v>1.52417</v>
      </c>
      <c r="AB39" s="347">
        <v>1.92879</v>
      </c>
      <c r="AC39" s="347"/>
      <c r="AD39" s="347"/>
      <c r="AE39" s="347"/>
      <c r="AF39" s="383">
        <f t="shared" si="3"/>
        <v>29.623550000000002</v>
      </c>
      <c r="AG39" s="347">
        <f t="shared" si="4"/>
        <v>39.498066666666674</v>
      </c>
      <c r="AH39" s="347">
        <f t="shared" si="18"/>
        <v>39.498066666666674</v>
      </c>
      <c r="AI39" s="628">
        <v>45</v>
      </c>
    </row>
    <row r="40" spans="1:36">
      <c r="A40" s="133" t="s">
        <v>172</v>
      </c>
      <c r="B40" s="139">
        <v>2324</v>
      </c>
      <c r="C40" s="348" t="s">
        <v>173</v>
      </c>
      <c r="D40" s="347">
        <v>5</v>
      </c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>
        <f>SUM(D40:P40)</f>
        <v>5</v>
      </c>
      <c r="R40" s="347"/>
      <c r="S40" s="347">
        <v>0.55710999999999999</v>
      </c>
      <c r="T40" s="347">
        <v>0.54608000000000001</v>
      </c>
      <c r="U40" s="347">
        <v>0</v>
      </c>
      <c r="V40" s="389">
        <v>0</v>
      </c>
      <c r="W40" s="389">
        <v>0</v>
      </c>
      <c r="X40" s="389">
        <v>0</v>
      </c>
      <c r="Y40" s="389">
        <v>0</v>
      </c>
      <c r="Z40" s="389">
        <v>0</v>
      </c>
      <c r="AA40" s="389">
        <v>0</v>
      </c>
      <c r="AB40" s="389">
        <v>0</v>
      </c>
      <c r="AC40" s="347"/>
      <c r="AD40" s="347"/>
      <c r="AE40" s="347"/>
      <c r="AF40" s="383">
        <f t="shared" si="3"/>
        <v>1.1031900000000001</v>
      </c>
      <c r="AG40" s="347">
        <f t="shared" si="4"/>
        <v>22.063800000000004</v>
      </c>
      <c r="AH40" s="347">
        <f t="shared" si="18"/>
        <v>22.063800000000004</v>
      </c>
      <c r="AI40" s="628">
        <v>5</v>
      </c>
    </row>
    <row r="41" spans="1:36">
      <c r="A41" s="137"/>
      <c r="B41" s="349"/>
      <c r="C41" s="546" t="s">
        <v>783</v>
      </c>
      <c r="D41" s="345">
        <f t="shared" ref="D41:Q41" si="19">SUM(D42:D73)</f>
        <v>10145.5</v>
      </c>
      <c r="E41" s="345">
        <f t="shared" si="19"/>
        <v>0</v>
      </c>
      <c r="F41" s="345">
        <f t="shared" si="19"/>
        <v>0</v>
      </c>
      <c r="G41" s="345">
        <f t="shared" si="19"/>
        <v>0</v>
      </c>
      <c r="H41" s="345">
        <f t="shared" si="19"/>
        <v>120</v>
      </c>
      <c r="I41" s="345">
        <f t="shared" si="19"/>
        <v>0</v>
      </c>
      <c r="J41" s="345">
        <f t="shared" si="19"/>
        <v>0</v>
      </c>
      <c r="K41" s="345">
        <f t="shared" si="19"/>
        <v>1436.81</v>
      </c>
      <c r="L41" s="345">
        <f t="shared" si="19"/>
        <v>540</v>
      </c>
      <c r="M41" s="345">
        <f t="shared" si="19"/>
        <v>0</v>
      </c>
      <c r="N41" s="345">
        <f t="shared" si="19"/>
        <v>0</v>
      </c>
      <c r="O41" s="345">
        <f t="shared" si="19"/>
        <v>0</v>
      </c>
      <c r="P41" s="345">
        <f t="shared" si="19"/>
        <v>0</v>
      </c>
      <c r="Q41" s="345">
        <f t="shared" si="19"/>
        <v>12242.310000000001</v>
      </c>
      <c r="R41" s="331"/>
      <c r="S41" s="345">
        <f t="shared" ref="S41:AD41" si="20">SUM(S42:S73)</f>
        <v>622.99760000000003</v>
      </c>
      <c r="T41" s="345">
        <f t="shared" si="20"/>
        <v>1343.6231699999998</v>
      </c>
      <c r="U41" s="345">
        <f t="shared" si="20"/>
        <v>278.00957999999991</v>
      </c>
      <c r="V41" s="345">
        <f t="shared" si="20"/>
        <v>314.08582000000001</v>
      </c>
      <c r="W41" s="345">
        <f t="shared" si="20"/>
        <v>614.75353999999993</v>
      </c>
      <c r="X41" s="345">
        <f t="shared" si="20"/>
        <v>1340.85601</v>
      </c>
      <c r="Y41" s="345">
        <f t="shared" si="20"/>
        <v>567.56359999999995</v>
      </c>
      <c r="Z41" s="345">
        <f t="shared" si="20"/>
        <v>1189.7450000000001</v>
      </c>
      <c r="AA41" s="345">
        <f t="shared" si="20"/>
        <v>1217.845</v>
      </c>
      <c r="AB41" s="345">
        <f t="shared" si="20"/>
        <v>1437.1415000000002</v>
      </c>
      <c r="AC41" s="345">
        <f t="shared" si="20"/>
        <v>0</v>
      </c>
      <c r="AD41" s="345">
        <f t="shared" si="20"/>
        <v>0</v>
      </c>
      <c r="AE41" s="331"/>
      <c r="AF41" s="382">
        <f t="shared" si="3"/>
        <v>8926.6208199999983</v>
      </c>
      <c r="AG41" s="345">
        <f t="shared" si="4"/>
        <v>87.986011729338117</v>
      </c>
      <c r="AH41" s="345">
        <f t="shared" si="18"/>
        <v>72.916147524445947</v>
      </c>
      <c r="AI41" s="626">
        <f>SUM(AI42:AI73)</f>
        <v>13512</v>
      </c>
    </row>
    <row r="42" spans="1:36" s="321" customFormat="1">
      <c r="A42" s="319" t="s">
        <v>157</v>
      </c>
      <c r="B42" s="320">
        <v>2420</v>
      </c>
      <c r="C42" s="350" t="s">
        <v>276</v>
      </c>
      <c r="D42" s="341">
        <v>0</v>
      </c>
      <c r="E42" s="352"/>
      <c r="F42" s="352"/>
      <c r="G42" s="352">
        <v>120</v>
      </c>
      <c r="H42" s="352"/>
      <c r="I42" s="352"/>
      <c r="J42" s="352"/>
      <c r="K42" s="352"/>
      <c r="L42" s="352"/>
      <c r="M42" s="352"/>
      <c r="N42" s="352"/>
      <c r="O42" s="352"/>
      <c r="P42" s="352"/>
      <c r="Q42" s="352">
        <f>SUM(D42:P42)</f>
        <v>120</v>
      </c>
      <c r="R42" s="352"/>
      <c r="S42" s="389">
        <v>0</v>
      </c>
      <c r="T42" s="389">
        <v>0</v>
      </c>
      <c r="U42" s="352">
        <v>120</v>
      </c>
      <c r="V42" s="389">
        <v>0</v>
      </c>
      <c r="W42" s="389">
        <v>0</v>
      </c>
      <c r="X42" s="389">
        <v>0</v>
      </c>
      <c r="Y42" s="389">
        <v>0</v>
      </c>
      <c r="Z42" s="389">
        <v>0</v>
      </c>
      <c r="AA42" s="389">
        <v>0</v>
      </c>
      <c r="AB42" s="389">
        <v>0</v>
      </c>
      <c r="AC42" s="352"/>
      <c r="AD42" s="352"/>
      <c r="AE42" s="351"/>
      <c r="AF42" s="383">
        <f t="shared" si="3"/>
        <v>120</v>
      </c>
      <c r="AG42" s="340">
        <v>0</v>
      </c>
      <c r="AH42" s="347">
        <f t="shared" si="18"/>
        <v>100</v>
      </c>
      <c r="AI42" s="629"/>
    </row>
    <row r="43" spans="1:36">
      <c r="A43" s="133" t="s">
        <v>174</v>
      </c>
      <c r="B43" s="140">
        <v>2111</v>
      </c>
      <c r="C43" s="337" t="s">
        <v>634</v>
      </c>
      <c r="D43" s="352">
        <v>5</v>
      </c>
      <c r="E43" s="352"/>
      <c r="F43" s="352"/>
      <c r="G43" s="352"/>
      <c r="H43" s="352"/>
      <c r="I43" s="352"/>
      <c r="J43" s="352"/>
      <c r="K43" s="352">
        <v>-1.5</v>
      </c>
      <c r="L43" s="352"/>
      <c r="M43" s="352"/>
      <c r="N43" s="352"/>
      <c r="O43" s="352"/>
      <c r="P43" s="352"/>
      <c r="Q43" s="352">
        <f t="shared" ref="Q43:Q73" si="21">SUM(D43:P43)</f>
        <v>3.5</v>
      </c>
      <c r="R43" s="352"/>
      <c r="S43" s="389">
        <v>0</v>
      </c>
      <c r="T43" s="389">
        <v>0</v>
      </c>
      <c r="U43" s="389">
        <v>0</v>
      </c>
      <c r="V43" s="389">
        <v>0</v>
      </c>
      <c r="W43" s="389">
        <v>0</v>
      </c>
      <c r="X43" s="389">
        <v>0</v>
      </c>
      <c r="Y43" s="352">
        <v>0.5</v>
      </c>
      <c r="Z43" s="389">
        <v>0</v>
      </c>
      <c r="AA43" s="389">
        <v>0</v>
      </c>
      <c r="AB43" s="352">
        <v>0.62</v>
      </c>
      <c r="AC43" s="352"/>
      <c r="AD43" s="352"/>
      <c r="AE43" s="352"/>
      <c r="AF43" s="383">
        <f t="shared" si="3"/>
        <v>1.1200000000000001</v>
      </c>
      <c r="AG43" s="340">
        <f t="shared" si="4"/>
        <v>22.400000000000002</v>
      </c>
      <c r="AH43" s="347">
        <f t="shared" si="18"/>
        <v>32</v>
      </c>
      <c r="AI43" s="628">
        <v>5</v>
      </c>
    </row>
    <row r="44" spans="1:36">
      <c r="A44" s="133" t="s">
        <v>175</v>
      </c>
      <c r="B44" s="140">
        <v>2212</v>
      </c>
      <c r="C44" s="337" t="s">
        <v>176</v>
      </c>
      <c r="D44" s="352">
        <v>0.5</v>
      </c>
      <c r="E44" s="352"/>
      <c r="F44" s="352"/>
      <c r="G44" s="352"/>
      <c r="H44" s="352"/>
      <c r="I44" s="352"/>
      <c r="J44" s="352"/>
      <c r="K44" s="352">
        <v>1.5</v>
      </c>
      <c r="L44" s="352"/>
      <c r="M44" s="352"/>
      <c r="N44" s="352"/>
      <c r="O44" s="352"/>
      <c r="P44" s="352"/>
      <c r="Q44" s="352">
        <f t="shared" si="21"/>
        <v>2</v>
      </c>
      <c r="R44" s="352"/>
      <c r="S44" s="389">
        <v>0</v>
      </c>
      <c r="T44" s="352">
        <v>0.5</v>
      </c>
      <c r="U44" s="389">
        <v>0</v>
      </c>
      <c r="V44" s="389">
        <v>0</v>
      </c>
      <c r="W44" s="389">
        <v>0</v>
      </c>
      <c r="X44" s="389">
        <v>0</v>
      </c>
      <c r="Y44" s="352">
        <v>0.5</v>
      </c>
      <c r="Z44" s="389">
        <v>0</v>
      </c>
      <c r="AA44" s="389">
        <v>0</v>
      </c>
      <c r="AB44" s="389">
        <v>0</v>
      </c>
      <c r="AC44" s="352"/>
      <c r="AD44" s="352"/>
      <c r="AE44" s="352"/>
      <c r="AF44" s="383">
        <f t="shared" si="3"/>
        <v>1</v>
      </c>
      <c r="AG44" s="347">
        <f t="shared" si="4"/>
        <v>200</v>
      </c>
      <c r="AH44" s="347">
        <f t="shared" si="18"/>
        <v>50</v>
      </c>
      <c r="AI44" s="628">
        <v>2</v>
      </c>
    </row>
    <row r="45" spans="1:36">
      <c r="A45" s="133" t="s">
        <v>177</v>
      </c>
      <c r="B45" s="140">
        <v>2212</v>
      </c>
      <c r="C45" s="337" t="s">
        <v>178</v>
      </c>
      <c r="D45" s="352">
        <v>2400</v>
      </c>
      <c r="E45" s="352"/>
      <c r="F45" s="352"/>
      <c r="G45" s="352"/>
      <c r="H45" s="352"/>
      <c r="I45" s="352"/>
      <c r="J45" s="352"/>
      <c r="K45" s="352"/>
      <c r="L45" s="352">
        <v>540</v>
      </c>
      <c r="M45" s="352"/>
      <c r="N45" s="352"/>
      <c r="O45" s="352"/>
      <c r="P45" s="352"/>
      <c r="Q45" s="352">
        <f t="shared" si="21"/>
        <v>2940</v>
      </c>
      <c r="R45" s="352"/>
      <c r="S45" s="352">
        <v>76.25</v>
      </c>
      <c r="T45" s="352">
        <v>30.95</v>
      </c>
      <c r="U45" s="352">
        <v>97</v>
      </c>
      <c r="V45" s="352">
        <v>111.25</v>
      </c>
      <c r="W45" s="352">
        <v>119.25</v>
      </c>
      <c r="X45" s="352">
        <f>190.7-0.75</f>
        <v>189.95</v>
      </c>
      <c r="Y45" s="352">
        <f>0.5+3+16.3+1.5+2+343.2+3-0.75</f>
        <v>368.75</v>
      </c>
      <c r="Z45" s="352">
        <v>411.75</v>
      </c>
      <c r="AA45" s="352">
        <v>497.50099999999998</v>
      </c>
      <c r="AB45" s="352">
        <v>486.80650000000003</v>
      </c>
      <c r="AC45" s="352"/>
      <c r="AD45" s="352"/>
      <c r="AE45" s="352"/>
      <c r="AF45" s="383">
        <f t="shared" si="3"/>
        <v>2389.4575</v>
      </c>
      <c r="AG45" s="347">
        <f t="shared" si="4"/>
        <v>99.560729166666661</v>
      </c>
      <c r="AH45" s="347">
        <f t="shared" si="18"/>
        <v>81.274064625850343</v>
      </c>
      <c r="AI45" s="628">
        <v>5400</v>
      </c>
      <c r="AJ45" s="630" t="s">
        <v>732</v>
      </c>
    </row>
    <row r="46" spans="1:36">
      <c r="A46" s="133" t="s">
        <v>179</v>
      </c>
      <c r="B46" s="140">
        <v>2132</v>
      </c>
      <c r="C46" s="337" t="s">
        <v>180</v>
      </c>
      <c r="D46" s="352">
        <v>650</v>
      </c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>
        <f t="shared" si="21"/>
        <v>650</v>
      </c>
      <c r="R46" s="352"/>
      <c r="S46" s="389">
        <v>0</v>
      </c>
      <c r="T46" s="389">
        <v>0</v>
      </c>
      <c r="U46" s="389">
        <v>0</v>
      </c>
      <c r="V46" s="389">
        <v>0</v>
      </c>
      <c r="W46" s="389">
        <v>0</v>
      </c>
      <c r="X46" s="389">
        <v>0</v>
      </c>
      <c r="Y46" s="389">
        <v>0</v>
      </c>
      <c r="Z46" s="389">
        <v>0</v>
      </c>
      <c r="AA46" s="389">
        <v>0</v>
      </c>
      <c r="AB46" s="389">
        <v>0</v>
      </c>
      <c r="AC46" s="352"/>
      <c r="AD46" s="352"/>
      <c r="AE46" s="352"/>
      <c r="AF46" s="383">
        <f t="shared" si="3"/>
        <v>0</v>
      </c>
      <c r="AG46" s="340">
        <f t="shared" si="4"/>
        <v>0</v>
      </c>
      <c r="AH46" s="347">
        <f t="shared" si="18"/>
        <v>0</v>
      </c>
      <c r="AI46" s="628"/>
    </row>
    <row r="47" spans="1:36">
      <c r="A47" s="133" t="s">
        <v>181</v>
      </c>
      <c r="B47" s="140">
        <v>2212</v>
      </c>
      <c r="C47" s="337" t="s">
        <v>182</v>
      </c>
      <c r="D47" s="352">
        <v>30</v>
      </c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>
        <f t="shared" si="21"/>
        <v>30</v>
      </c>
      <c r="R47" s="352"/>
      <c r="S47" s="389">
        <v>0</v>
      </c>
      <c r="T47" s="389">
        <v>0</v>
      </c>
      <c r="U47" s="389">
        <v>0</v>
      </c>
      <c r="V47" s="389">
        <v>0</v>
      </c>
      <c r="W47" s="389">
        <v>0</v>
      </c>
      <c r="X47" s="389">
        <v>0</v>
      </c>
      <c r="Y47" s="389">
        <v>0</v>
      </c>
      <c r="Z47" s="389">
        <v>0</v>
      </c>
      <c r="AA47" s="352">
        <v>16</v>
      </c>
      <c r="AB47" s="352">
        <v>10</v>
      </c>
      <c r="AC47" s="352"/>
      <c r="AD47" s="352"/>
      <c r="AE47" s="352"/>
      <c r="AF47" s="383">
        <f t="shared" si="3"/>
        <v>26</v>
      </c>
      <c r="AG47" s="340">
        <f t="shared" si="4"/>
        <v>86.666666666666671</v>
      </c>
      <c r="AH47" s="347">
        <f t="shared" si="18"/>
        <v>86.666666666666671</v>
      </c>
      <c r="AI47" s="628">
        <v>30</v>
      </c>
    </row>
    <row r="48" spans="1:36">
      <c r="A48" s="133" t="s">
        <v>183</v>
      </c>
      <c r="B48" s="140">
        <v>2111</v>
      </c>
      <c r="C48" s="337" t="s">
        <v>184</v>
      </c>
      <c r="D48" s="352">
        <v>40</v>
      </c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>
        <f t="shared" si="21"/>
        <v>40</v>
      </c>
      <c r="R48" s="352"/>
      <c r="S48" s="389">
        <v>0</v>
      </c>
      <c r="T48" s="389">
        <v>0</v>
      </c>
      <c r="U48" s="389">
        <v>0</v>
      </c>
      <c r="V48" s="389">
        <v>0</v>
      </c>
      <c r="W48" s="389">
        <v>0</v>
      </c>
      <c r="X48" s="389">
        <v>0</v>
      </c>
      <c r="Y48" s="352">
        <v>4</v>
      </c>
      <c r="Z48" s="352">
        <v>7.46</v>
      </c>
      <c r="AA48" s="352">
        <v>3.81</v>
      </c>
      <c r="AB48" s="389">
        <v>0</v>
      </c>
      <c r="AC48" s="352"/>
      <c r="AD48" s="352"/>
      <c r="AE48" s="352"/>
      <c r="AF48" s="383">
        <f t="shared" si="3"/>
        <v>15.270000000000001</v>
      </c>
      <c r="AG48" s="340">
        <f t="shared" si="4"/>
        <v>38.175000000000004</v>
      </c>
      <c r="AH48" s="347">
        <f t="shared" si="18"/>
        <v>38.175000000000004</v>
      </c>
      <c r="AI48" s="628">
        <v>40</v>
      </c>
    </row>
    <row r="49" spans="1:36" s="321" customFormat="1">
      <c r="A49" s="319" t="s">
        <v>277</v>
      </c>
      <c r="B49" s="322">
        <v>2111</v>
      </c>
      <c r="C49" s="350" t="s">
        <v>278</v>
      </c>
      <c r="D49" s="341">
        <v>0</v>
      </c>
      <c r="E49" s="352"/>
      <c r="F49" s="352"/>
      <c r="G49" s="352">
        <v>2</v>
      </c>
      <c r="H49" s="352"/>
      <c r="I49" s="352"/>
      <c r="J49" s="352"/>
      <c r="K49" s="352"/>
      <c r="L49" s="352"/>
      <c r="M49" s="352"/>
      <c r="N49" s="352"/>
      <c r="O49" s="352"/>
      <c r="P49" s="352"/>
      <c r="Q49" s="352">
        <f t="shared" si="21"/>
        <v>2</v>
      </c>
      <c r="R49" s="352"/>
      <c r="S49" s="389">
        <v>0</v>
      </c>
      <c r="T49" s="389">
        <v>0</v>
      </c>
      <c r="U49" s="352">
        <v>1.8</v>
      </c>
      <c r="V49" s="389">
        <v>0</v>
      </c>
      <c r="W49" s="389">
        <v>0</v>
      </c>
      <c r="X49" s="389">
        <v>0</v>
      </c>
      <c r="Y49" s="389">
        <v>0</v>
      </c>
      <c r="Z49" s="389">
        <v>0</v>
      </c>
      <c r="AA49" s="389">
        <v>0</v>
      </c>
      <c r="AB49" s="389">
        <v>0</v>
      </c>
      <c r="AC49" s="352"/>
      <c r="AD49" s="352"/>
      <c r="AE49" s="351"/>
      <c r="AF49" s="383">
        <f t="shared" si="3"/>
        <v>1.8</v>
      </c>
      <c r="AG49" s="340">
        <v>0</v>
      </c>
      <c r="AH49" s="347">
        <f t="shared" si="18"/>
        <v>90</v>
      </c>
      <c r="AI49" s="629">
        <v>2</v>
      </c>
    </row>
    <row r="50" spans="1:36">
      <c r="A50" s="133" t="s">
        <v>185</v>
      </c>
      <c r="B50" s="140">
        <v>2119</v>
      </c>
      <c r="C50" s="337" t="s">
        <v>186</v>
      </c>
      <c r="D50" s="341">
        <v>0</v>
      </c>
      <c r="E50" s="352"/>
      <c r="F50" s="352"/>
      <c r="G50" s="352">
        <v>17.8</v>
      </c>
      <c r="H50" s="352"/>
      <c r="I50" s="352">
        <v>9</v>
      </c>
      <c r="J50" s="352"/>
      <c r="K50" s="352"/>
      <c r="L50" s="352"/>
      <c r="M50" s="352"/>
      <c r="N50" s="352"/>
      <c r="O50" s="352"/>
      <c r="P50" s="352"/>
      <c r="Q50" s="352">
        <f t="shared" si="21"/>
        <v>26.8</v>
      </c>
      <c r="R50" s="352"/>
      <c r="S50" s="389">
        <v>0</v>
      </c>
      <c r="T50" s="389">
        <v>0</v>
      </c>
      <c r="U50" s="352">
        <v>17.417999999999999</v>
      </c>
      <c r="V50" s="352">
        <v>0.8</v>
      </c>
      <c r="W50" s="389">
        <v>0</v>
      </c>
      <c r="X50" s="352">
        <v>0.36299999999999999</v>
      </c>
      <c r="Y50" s="352">
        <v>2.1779999999999999</v>
      </c>
      <c r="Z50" s="389">
        <v>0</v>
      </c>
      <c r="AA50" s="352">
        <v>1</v>
      </c>
      <c r="AB50" s="389">
        <v>0</v>
      </c>
      <c r="AC50" s="352"/>
      <c r="AD50" s="352"/>
      <c r="AE50" s="352"/>
      <c r="AF50" s="383">
        <f t="shared" si="3"/>
        <v>21.759</v>
      </c>
      <c r="AG50" s="340">
        <v>0</v>
      </c>
      <c r="AH50" s="347">
        <f t="shared" si="18"/>
        <v>81.190298507462686</v>
      </c>
      <c r="AI50" s="628">
        <v>30</v>
      </c>
    </row>
    <row r="51" spans="1:36" hidden="1">
      <c r="A51" s="133" t="s">
        <v>187</v>
      </c>
      <c r="B51" s="140">
        <v>2212</v>
      </c>
      <c r="C51" s="337" t="s">
        <v>188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>
        <f t="shared" si="21"/>
        <v>0</v>
      </c>
      <c r="R51" s="352"/>
      <c r="S51" s="389"/>
      <c r="T51" s="389"/>
      <c r="U51" s="389"/>
      <c r="V51" s="352"/>
      <c r="W51" s="389"/>
      <c r="X51" s="352"/>
      <c r="Y51" s="352"/>
      <c r="Z51" s="352"/>
      <c r="AA51" s="352"/>
      <c r="AB51" s="352"/>
      <c r="AC51" s="352"/>
      <c r="AD51" s="352"/>
      <c r="AE51" s="352"/>
      <c r="AF51" s="383">
        <f t="shared" si="3"/>
        <v>0</v>
      </c>
      <c r="AG51" s="340">
        <v>0</v>
      </c>
      <c r="AH51" s="347" t="e">
        <f t="shared" si="18"/>
        <v>#DIV/0!</v>
      </c>
      <c r="AI51" s="628"/>
    </row>
    <row r="52" spans="1:36">
      <c r="A52" s="133" t="s">
        <v>189</v>
      </c>
      <c r="B52" s="140">
        <v>2329</v>
      </c>
      <c r="C52" s="337" t="s">
        <v>190</v>
      </c>
      <c r="D52" s="352">
        <v>350</v>
      </c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>
        <f t="shared" si="21"/>
        <v>350</v>
      </c>
      <c r="R52" s="352"/>
      <c r="S52" s="352">
        <v>73.182000000000002</v>
      </c>
      <c r="T52" s="352">
        <v>3.8620000000000001</v>
      </c>
      <c r="U52" s="352">
        <v>0</v>
      </c>
      <c r="V52" s="352">
        <v>138.9401</v>
      </c>
      <c r="W52" s="389">
        <v>0</v>
      </c>
      <c r="X52" s="389">
        <v>0</v>
      </c>
      <c r="Y52" s="352">
        <v>5.3762999999999996</v>
      </c>
      <c r="Z52" s="389">
        <v>0</v>
      </c>
      <c r="AA52" s="352">
        <v>0.77400000000000002</v>
      </c>
      <c r="AB52" s="352">
        <v>4.5659999999999998</v>
      </c>
      <c r="AC52" s="352"/>
      <c r="AD52" s="352"/>
      <c r="AE52" s="352"/>
      <c r="AF52" s="383">
        <f t="shared" si="3"/>
        <v>226.7004</v>
      </c>
      <c r="AG52" s="347">
        <f t="shared" si="4"/>
        <v>64.771542857142862</v>
      </c>
      <c r="AH52" s="347">
        <f t="shared" si="18"/>
        <v>64.771542857142862</v>
      </c>
      <c r="AI52" s="628">
        <v>350</v>
      </c>
    </row>
    <row r="53" spans="1:36">
      <c r="A53" s="133" t="s">
        <v>191</v>
      </c>
      <c r="B53" s="140">
        <v>2212</v>
      </c>
      <c r="C53" s="337" t="s">
        <v>192</v>
      </c>
      <c r="D53" s="341">
        <v>0</v>
      </c>
      <c r="E53" s="352"/>
      <c r="F53" s="352"/>
      <c r="G53" s="352"/>
      <c r="H53" s="352"/>
      <c r="I53" s="352"/>
      <c r="J53" s="352"/>
      <c r="K53" s="352"/>
      <c r="L53" s="352"/>
      <c r="M53" s="352">
        <v>28</v>
      </c>
      <c r="N53" s="352"/>
      <c r="O53" s="352"/>
      <c r="P53" s="352"/>
      <c r="Q53" s="352">
        <f t="shared" si="21"/>
        <v>28</v>
      </c>
      <c r="R53" s="352"/>
      <c r="S53" s="389"/>
      <c r="T53" s="389"/>
      <c r="U53" s="389"/>
      <c r="V53" s="352"/>
      <c r="W53" s="352"/>
      <c r="X53" s="352"/>
      <c r="Y53" s="352"/>
      <c r="Z53" s="352"/>
      <c r="AA53" s="352">
        <v>28</v>
      </c>
      <c r="AB53" s="389">
        <v>0</v>
      </c>
      <c r="AC53" s="352"/>
      <c r="AD53" s="352"/>
      <c r="AE53" s="352"/>
      <c r="AF53" s="383">
        <f t="shared" si="3"/>
        <v>28</v>
      </c>
      <c r="AG53" s="340">
        <v>0</v>
      </c>
      <c r="AH53" s="347">
        <f t="shared" si="18"/>
        <v>100</v>
      </c>
      <c r="AI53" s="628"/>
    </row>
    <row r="54" spans="1:36" hidden="1">
      <c r="A54" s="133" t="s">
        <v>193</v>
      </c>
      <c r="B54" s="140">
        <v>2212</v>
      </c>
      <c r="C54" s="337" t="s">
        <v>194</v>
      </c>
      <c r="D54" s="341">
        <v>0</v>
      </c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>
        <f t="shared" si="21"/>
        <v>0</v>
      </c>
      <c r="R54" s="352"/>
      <c r="S54" s="389"/>
      <c r="T54" s="389"/>
      <c r="U54" s="389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83">
        <f t="shared" si="3"/>
        <v>0</v>
      </c>
      <c r="AG54" s="340">
        <v>0</v>
      </c>
      <c r="AH54" s="347" t="e">
        <f t="shared" si="18"/>
        <v>#DIV/0!</v>
      </c>
      <c r="AI54" s="628"/>
    </row>
    <row r="55" spans="1:36">
      <c r="A55" s="133" t="s">
        <v>195</v>
      </c>
      <c r="B55" s="140">
        <v>2212</v>
      </c>
      <c r="C55" s="337" t="s">
        <v>196</v>
      </c>
      <c r="D55" s="341">
        <v>0</v>
      </c>
      <c r="E55" s="352"/>
      <c r="F55" s="352"/>
      <c r="G55" s="352"/>
      <c r="H55" s="352"/>
      <c r="I55" s="352">
        <v>1</v>
      </c>
      <c r="J55" s="352"/>
      <c r="K55" s="352"/>
      <c r="L55" s="352">
        <v>1</v>
      </c>
      <c r="M55" s="352"/>
      <c r="N55" s="352">
        <v>30</v>
      </c>
      <c r="O55" s="352"/>
      <c r="P55" s="352"/>
      <c r="Q55" s="352">
        <f t="shared" si="21"/>
        <v>32</v>
      </c>
      <c r="R55" s="352"/>
      <c r="S55" s="389">
        <v>0</v>
      </c>
      <c r="T55" s="389">
        <v>0</v>
      </c>
      <c r="U55" s="389">
        <v>0</v>
      </c>
      <c r="V55" s="389">
        <v>0</v>
      </c>
      <c r="W55" s="352">
        <v>1</v>
      </c>
      <c r="X55" s="389">
        <v>0</v>
      </c>
      <c r="Y55" s="389">
        <v>0</v>
      </c>
      <c r="Z55" s="352">
        <v>1</v>
      </c>
      <c r="AA55" s="389">
        <v>0</v>
      </c>
      <c r="AB55" s="352">
        <v>23</v>
      </c>
      <c r="AC55" s="352"/>
      <c r="AD55" s="352"/>
      <c r="AE55" s="352"/>
      <c r="AF55" s="383">
        <f t="shared" si="3"/>
        <v>25</v>
      </c>
      <c r="AG55" s="340">
        <v>0</v>
      </c>
      <c r="AH55" s="347">
        <f t="shared" si="18"/>
        <v>78.125</v>
      </c>
      <c r="AI55" s="628">
        <v>32</v>
      </c>
    </row>
    <row r="56" spans="1:36" s="323" customFormat="1" ht="32.25" customHeight="1">
      <c r="A56" s="319" t="s">
        <v>279</v>
      </c>
      <c r="B56" s="320">
        <v>2324</v>
      </c>
      <c r="C56" s="350" t="s">
        <v>630</v>
      </c>
      <c r="D56" s="341">
        <v>0</v>
      </c>
      <c r="E56" s="352"/>
      <c r="F56" s="352"/>
      <c r="G56" s="352">
        <v>308.2</v>
      </c>
      <c r="H56" s="352"/>
      <c r="I56" s="352"/>
      <c r="J56" s="352"/>
      <c r="K56" s="352">
        <v>436.81</v>
      </c>
      <c r="L56" s="352"/>
      <c r="M56" s="352"/>
      <c r="N56" s="352"/>
      <c r="O56" s="352"/>
      <c r="P56" s="352"/>
      <c r="Q56" s="352">
        <f t="shared" si="21"/>
        <v>745.01</v>
      </c>
      <c r="R56" s="352"/>
      <c r="S56" s="352">
        <v>0</v>
      </c>
      <c r="T56" s="352">
        <v>0</v>
      </c>
      <c r="U56" s="352">
        <v>308.2</v>
      </c>
      <c r="V56" s="389">
        <v>0</v>
      </c>
      <c r="W56" s="389">
        <v>0</v>
      </c>
      <c r="X56" s="389">
        <v>0</v>
      </c>
      <c r="Y56" s="352">
        <f>65.52195+371.29105</f>
        <v>436.81299999999999</v>
      </c>
      <c r="Z56" s="389">
        <v>0</v>
      </c>
      <c r="AA56" s="389">
        <v>0</v>
      </c>
      <c r="AB56" s="352">
        <v>471.68299999999999</v>
      </c>
      <c r="AC56" s="352"/>
      <c r="AD56" s="352"/>
      <c r="AE56" s="353"/>
      <c r="AF56" s="383">
        <f t="shared" si="3"/>
        <v>1216.6959999999999</v>
      </c>
      <c r="AG56" s="340">
        <v>0</v>
      </c>
      <c r="AH56" s="347">
        <f t="shared" si="18"/>
        <v>163.31270721198371</v>
      </c>
      <c r="AI56" s="632">
        <v>500</v>
      </c>
      <c r="AJ56" s="631"/>
    </row>
    <row r="57" spans="1:36">
      <c r="A57" s="133" t="s">
        <v>197</v>
      </c>
      <c r="B57" s="140">
        <v>2329</v>
      </c>
      <c r="C57" s="337" t="s">
        <v>198</v>
      </c>
      <c r="D57" s="341">
        <v>0</v>
      </c>
      <c r="E57" s="352"/>
      <c r="F57" s="352"/>
      <c r="G57" s="352"/>
      <c r="H57" s="352"/>
      <c r="I57" s="352"/>
      <c r="J57" s="352"/>
      <c r="K57" s="352"/>
      <c r="L57" s="352">
        <v>1</v>
      </c>
      <c r="M57" s="352"/>
      <c r="N57" s="352"/>
      <c r="O57" s="352"/>
      <c r="P57" s="352"/>
      <c r="Q57" s="352">
        <f t="shared" si="21"/>
        <v>1</v>
      </c>
      <c r="R57" s="352"/>
      <c r="S57" s="389"/>
      <c r="T57" s="389"/>
      <c r="U57" s="389"/>
      <c r="V57" s="352"/>
      <c r="W57" s="352"/>
      <c r="X57" s="352"/>
      <c r="Y57" s="352"/>
      <c r="Z57" s="352">
        <v>0.16</v>
      </c>
      <c r="AA57" s="389">
        <v>0</v>
      </c>
      <c r="AB57" s="389">
        <v>0</v>
      </c>
      <c r="AC57" s="352"/>
      <c r="AD57" s="352"/>
      <c r="AE57" s="352"/>
      <c r="AF57" s="383">
        <f t="shared" si="3"/>
        <v>0.16</v>
      </c>
      <c r="AG57" s="340">
        <v>0</v>
      </c>
      <c r="AH57" s="347">
        <f t="shared" si="18"/>
        <v>16</v>
      </c>
      <c r="AI57" s="628">
        <v>1</v>
      </c>
    </row>
    <row r="58" spans="1:36">
      <c r="A58" s="133" t="s">
        <v>199</v>
      </c>
      <c r="B58" s="140">
        <v>2212</v>
      </c>
      <c r="C58" s="337" t="s">
        <v>200</v>
      </c>
      <c r="D58" s="352">
        <v>20</v>
      </c>
      <c r="E58" s="352"/>
      <c r="F58" s="352"/>
      <c r="G58" s="352"/>
      <c r="H58" s="352">
        <v>18</v>
      </c>
      <c r="I58" s="352"/>
      <c r="J58" s="352"/>
      <c r="K58" s="352"/>
      <c r="L58" s="352"/>
      <c r="M58" s="352">
        <v>15</v>
      </c>
      <c r="N58" s="352"/>
      <c r="O58" s="352"/>
      <c r="P58" s="352"/>
      <c r="Q58" s="352">
        <f t="shared" si="21"/>
        <v>53</v>
      </c>
      <c r="R58" s="352"/>
      <c r="S58" s="352">
        <v>2</v>
      </c>
      <c r="T58" s="352">
        <v>11.047000000000001</v>
      </c>
      <c r="U58" s="352">
        <v>3.9</v>
      </c>
      <c r="V58" s="352">
        <v>7.242</v>
      </c>
      <c r="W58" s="352">
        <v>4</v>
      </c>
      <c r="X58" s="352">
        <v>2.5</v>
      </c>
      <c r="Y58" s="352">
        <f>0.75+3.5</f>
        <v>4.25</v>
      </c>
      <c r="Z58" s="352">
        <v>2.2000000000000002</v>
      </c>
      <c r="AA58" s="352">
        <v>3.5</v>
      </c>
      <c r="AB58" s="352">
        <v>1</v>
      </c>
      <c r="AC58" s="352"/>
      <c r="AD58" s="352"/>
      <c r="AE58" s="352"/>
      <c r="AF58" s="383">
        <f t="shared" si="3"/>
        <v>41.639000000000003</v>
      </c>
      <c r="AG58" s="347">
        <f t="shared" si="4"/>
        <v>208.19499999999999</v>
      </c>
      <c r="AH58" s="347">
        <f t="shared" si="18"/>
        <v>78.564150943396228</v>
      </c>
      <c r="AI58" s="628">
        <v>20</v>
      </c>
    </row>
    <row r="59" spans="1:36" s="138" customFormat="1" hidden="1">
      <c r="A59" s="324" t="s">
        <v>201</v>
      </c>
      <c r="B59" s="325">
        <v>2111</v>
      </c>
      <c r="C59" s="354" t="s">
        <v>202</v>
      </c>
      <c r="D59" s="341">
        <v>0</v>
      </c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>
        <f t="shared" si="21"/>
        <v>0</v>
      </c>
      <c r="R59" s="352"/>
      <c r="S59" s="389"/>
      <c r="T59" s="389"/>
      <c r="U59" s="389"/>
      <c r="V59" s="352"/>
      <c r="W59" s="352"/>
      <c r="X59" s="352"/>
      <c r="Y59" s="352"/>
      <c r="Z59" s="352"/>
      <c r="AA59" s="352"/>
      <c r="AB59" s="352"/>
      <c r="AC59" s="352"/>
      <c r="AD59" s="352"/>
      <c r="AE59" s="342"/>
      <c r="AF59" s="383">
        <f t="shared" si="3"/>
        <v>0</v>
      </c>
      <c r="AG59" s="340">
        <v>0</v>
      </c>
      <c r="AH59" s="347" t="e">
        <f t="shared" si="18"/>
        <v>#DIV/0!</v>
      </c>
      <c r="AI59" s="628"/>
    </row>
    <row r="60" spans="1:36">
      <c r="A60" s="133" t="s">
        <v>170</v>
      </c>
      <c r="B60" s="140">
        <v>2111</v>
      </c>
      <c r="C60" s="337" t="s">
        <v>203</v>
      </c>
      <c r="D60" s="352">
        <v>150</v>
      </c>
      <c r="E60" s="352"/>
      <c r="F60" s="352">
        <v>450</v>
      </c>
      <c r="G60" s="352"/>
      <c r="H60" s="352">
        <v>80</v>
      </c>
      <c r="I60" s="352"/>
      <c r="J60" s="352"/>
      <c r="K60" s="352"/>
      <c r="L60" s="352"/>
      <c r="M60" s="352">
        <v>50</v>
      </c>
      <c r="N60" s="352"/>
      <c r="O60" s="352"/>
      <c r="P60" s="352"/>
      <c r="Q60" s="352">
        <f t="shared" si="21"/>
        <v>730</v>
      </c>
      <c r="R60" s="352"/>
      <c r="S60" s="352">
        <v>64.621600000000001</v>
      </c>
      <c r="T60" s="352">
        <v>513.27387999999996</v>
      </c>
      <c r="U60" s="352">
        <v>3.7120000000000002</v>
      </c>
      <c r="V60" s="352">
        <v>26.1936</v>
      </c>
      <c r="W60" s="352">
        <v>7.0759999999999996</v>
      </c>
      <c r="X60" s="352">
        <v>14.288</v>
      </c>
      <c r="Y60" s="352">
        <f>4.514+43.1673</f>
        <v>47.6813</v>
      </c>
      <c r="Z60" s="352">
        <v>4.9930000000000003</v>
      </c>
      <c r="AA60" s="352">
        <v>4.1970000000000001</v>
      </c>
      <c r="AB60" s="352">
        <v>7.2729999999999997</v>
      </c>
      <c r="AC60" s="352"/>
      <c r="AD60" s="352"/>
      <c r="AE60" s="352"/>
      <c r="AF60" s="383">
        <f>SUM(S60:AD60)</f>
        <v>693.30937999999992</v>
      </c>
      <c r="AG60" s="347">
        <f t="shared" si="4"/>
        <v>462.20625333333328</v>
      </c>
      <c r="AH60" s="347">
        <f t="shared" si="18"/>
        <v>94.973887671232873</v>
      </c>
      <c r="AI60" s="628">
        <v>700</v>
      </c>
    </row>
    <row r="61" spans="1:36">
      <c r="A61" s="559" t="s">
        <v>170</v>
      </c>
      <c r="B61" s="140">
        <v>2112</v>
      </c>
      <c r="C61" s="337" t="s">
        <v>640</v>
      </c>
      <c r="D61" s="352"/>
      <c r="E61" s="352"/>
      <c r="F61" s="352"/>
      <c r="G61" s="352"/>
      <c r="H61" s="352"/>
      <c r="I61" s="352"/>
      <c r="J61" s="352"/>
      <c r="K61" s="352"/>
      <c r="L61" s="352">
        <v>2</v>
      </c>
      <c r="M61" s="352"/>
      <c r="N61" s="352"/>
      <c r="O61" s="352"/>
      <c r="P61" s="352"/>
      <c r="Q61" s="352">
        <f t="shared" si="21"/>
        <v>2</v>
      </c>
      <c r="R61" s="352"/>
      <c r="S61" s="352"/>
      <c r="T61" s="352"/>
      <c r="U61" s="352"/>
      <c r="V61" s="352"/>
      <c r="W61" s="352"/>
      <c r="X61" s="352"/>
      <c r="Y61" s="352"/>
      <c r="Z61" s="352">
        <v>2</v>
      </c>
      <c r="AA61" s="389">
        <v>0</v>
      </c>
      <c r="AB61" s="389">
        <v>0</v>
      </c>
      <c r="AC61" s="352"/>
      <c r="AD61" s="352"/>
      <c r="AE61" s="352"/>
      <c r="AF61" s="383">
        <f>SUM(S61:AD61)</f>
        <v>2</v>
      </c>
      <c r="AG61" s="347" t="e">
        <f>(AF61/D61)*100</f>
        <v>#DIV/0!</v>
      </c>
      <c r="AH61" s="347">
        <f>(AF61/Q61)*100</f>
        <v>100</v>
      </c>
      <c r="AI61" s="628"/>
    </row>
    <row r="62" spans="1:36" s="321" customFormat="1">
      <c r="A62" s="319" t="s">
        <v>170</v>
      </c>
      <c r="B62" s="320">
        <v>2119</v>
      </c>
      <c r="C62" s="355" t="s">
        <v>280</v>
      </c>
      <c r="D62" s="341">
        <v>0</v>
      </c>
      <c r="E62" s="352">
        <v>2</v>
      </c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>
        <f t="shared" si="21"/>
        <v>2</v>
      </c>
      <c r="R62" s="352"/>
      <c r="S62" s="352">
        <v>1.21</v>
      </c>
      <c r="T62" s="352">
        <v>0</v>
      </c>
      <c r="U62" s="352">
        <v>0</v>
      </c>
      <c r="V62" s="352">
        <v>0</v>
      </c>
      <c r="W62" s="389">
        <v>0</v>
      </c>
      <c r="X62" s="389">
        <v>0</v>
      </c>
      <c r="Y62" s="389">
        <v>0</v>
      </c>
      <c r="Z62" s="389">
        <v>0</v>
      </c>
      <c r="AA62" s="389">
        <v>0</v>
      </c>
      <c r="AB62" s="389">
        <v>0</v>
      </c>
      <c r="AC62" s="352"/>
      <c r="AD62" s="352"/>
      <c r="AE62" s="353"/>
      <c r="AF62" s="383">
        <f t="shared" si="3"/>
        <v>1.21</v>
      </c>
      <c r="AG62" s="347" t="e">
        <f>(AF62/D62)*100</f>
        <v>#DIV/0!</v>
      </c>
      <c r="AH62" s="347">
        <f>(AF62/Q62)*100</f>
        <v>60.5</v>
      </c>
      <c r="AI62" s="629"/>
    </row>
    <row r="63" spans="1:36">
      <c r="A63" s="133" t="s">
        <v>170</v>
      </c>
      <c r="B63" s="140">
        <v>2212</v>
      </c>
      <c r="C63" s="337" t="s">
        <v>204</v>
      </c>
      <c r="D63" s="352">
        <v>500</v>
      </c>
      <c r="E63" s="352">
        <v>-2</v>
      </c>
      <c r="F63" s="352"/>
      <c r="G63" s="352"/>
      <c r="H63" s="352">
        <v>-98</v>
      </c>
      <c r="I63" s="352"/>
      <c r="J63" s="352">
        <v>-10</v>
      </c>
      <c r="K63" s="352"/>
      <c r="L63" s="352"/>
      <c r="M63" s="352"/>
      <c r="N63" s="352"/>
      <c r="O63" s="352"/>
      <c r="P63" s="352"/>
      <c r="Q63" s="352">
        <f t="shared" si="21"/>
        <v>390</v>
      </c>
      <c r="R63" s="352"/>
      <c r="S63" s="352">
        <v>0</v>
      </c>
      <c r="T63" s="352">
        <v>0</v>
      </c>
      <c r="U63" s="352">
        <v>9.3379999999999992</v>
      </c>
      <c r="V63" s="352">
        <v>2.5</v>
      </c>
      <c r="W63" s="352">
        <v>9</v>
      </c>
      <c r="X63" s="389">
        <v>0</v>
      </c>
      <c r="Y63" s="389">
        <v>0</v>
      </c>
      <c r="Z63" s="389">
        <v>0</v>
      </c>
      <c r="AA63" s="389">
        <v>0</v>
      </c>
      <c r="AB63" s="389">
        <v>0</v>
      </c>
      <c r="AC63" s="352"/>
      <c r="AD63" s="352"/>
      <c r="AE63" s="352"/>
      <c r="AF63" s="383">
        <f t="shared" si="3"/>
        <v>20.838000000000001</v>
      </c>
      <c r="AG63" s="347">
        <f t="shared" si="4"/>
        <v>4.1676000000000002</v>
      </c>
      <c r="AH63" s="347">
        <f t="shared" si="18"/>
        <v>5.3430769230769233</v>
      </c>
      <c r="AI63" s="628">
        <v>100</v>
      </c>
    </row>
    <row r="64" spans="1:36" hidden="1">
      <c r="A64" s="133" t="s">
        <v>170</v>
      </c>
      <c r="B64" s="140">
        <v>2222</v>
      </c>
      <c r="C64" s="337" t="s">
        <v>205</v>
      </c>
      <c r="D64" s="341">
        <v>0</v>
      </c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>
        <f t="shared" si="21"/>
        <v>0</v>
      </c>
      <c r="R64" s="352"/>
      <c r="S64" s="389"/>
      <c r="T64" s="389"/>
      <c r="U64" s="389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83">
        <f t="shared" si="3"/>
        <v>0</v>
      </c>
      <c r="AG64" s="340">
        <v>0</v>
      </c>
      <c r="AH64" s="347" t="e">
        <f t="shared" si="18"/>
        <v>#DIV/0!</v>
      </c>
      <c r="AI64" s="628"/>
    </row>
    <row r="65" spans="1:35">
      <c r="A65" s="133" t="s">
        <v>170</v>
      </c>
      <c r="B65" s="140">
        <v>2321</v>
      </c>
      <c r="C65" s="337" t="s">
        <v>206</v>
      </c>
      <c r="D65" s="341">
        <v>0</v>
      </c>
      <c r="E65" s="352"/>
      <c r="F65" s="352"/>
      <c r="G65" s="352"/>
      <c r="H65" s="352"/>
      <c r="I65" s="352"/>
      <c r="J65" s="352"/>
      <c r="K65" s="352">
        <v>2</v>
      </c>
      <c r="L65" s="352"/>
      <c r="M65" s="352"/>
      <c r="N65" s="352"/>
      <c r="O65" s="352"/>
      <c r="P65" s="352"/>
      <c r="Q65" s="352">
        <f t="shared" si="21"/>
        <v>2</v>
      </c>
      <c r="R65" s="352"/>
      <c r="S65" s="389"/>
      <c r="T65" s="389"/>
      <c r="U65" s="389"/>
      <c r="V65" s="352"/>
      <c r="W65" s="352"/>
      <c r="X65" s="352"/>
      <c r="Y65" s="352">
        <v>1.5</v>
      </c>
      <c r="Z65" s="389">
        <v>0</v>
      </c>
      <c r="AA65" s="389">
        <v>0</v>
      </c>
      <c r="AB65" s="389">
        <v>0</v>
      </c>
      <c r="AC65" s="352"/>
      <c r="AD65" s="352"/>
      <c r="AE65" s="352"/>
      <c r="AF65" s="383">
        <f t="shared" si="3"/>
        <v>1.5</v>
      </c>
      <c r="AG65" s="340">
        <v>0</v>
      </c>
      <c r="AH65" s="347">
        <f t="shared" si="18"/>
        <v>75</v>
      </c>
      <c r="AI65" s="628"/>
    </row>
    <row r="66" spans="1:35">
      <c r="A66" s="133" t="s">
        <v>170</v>
      </c>
      <c r="B66" s="140">
        <v>2322</v>
      </c>
      <c r="C66" s="337" t="s">
        <v>207</v>
      </c>
      <c r="D66" s="341">
        <v>0</v>
      </c>
      <c r="E66" s="352"/>
      <c r="F66" s="352"/>
      <c r="G66" s="352"/>
      <c r="H66" s="352"/>
      <c r="I66" s="352"/>
      <c r="J66" s="352">
        <v>10</v>
      </c>
      <c r="K66" s="352"/>
      <c r="L66" s="352"/>
      <c r="M66" s="352">
        <v>7</v>
      </c>
      <c r="N66" s="352"/>
      <c r="O66" s="352"/>
      <c r="P66" s="352"/>
      <c r="Q66" s="352">
        <f t="shared" si="21"/>
        <v>17</v>
      </c>
      <c r="R66" s="352"/>
      <c r="S66" s="389"/>
      <c r="T66" s="389"/>
      <c r="U66" s="389"/>
      <c r="V66" s="352"/>
      <c r="W66" s="352"/>
      <c r="X66" s="352">
        <v>4.9619999999999997</v>
      </c>
      <c r="Y66" s="389">
        <v>0</v>
      </c>
      <c r="Z66" s="389">
        <v>0</v>
      </c>
      <c r="AA66" s="352">
        <v>11.2</v>
      </c>
      <c r="AB66" s="389">
        <v>0</v>
      </c>
      <c r="AC66" s="352"/>
      <c r="AD66" s="352"/>
      <c r="AE66" s="352"/>
      <c r="AF66" s="383">
        <f t="shared" si="3"/>
        <v>16.161999999999999</v>
      </c>
      <c r="AG66" s="340">
        <v>0</v>
      </c>
      <c r="AH66" s="347">
        <f t="shared" si="18"/>
        <v>95.07058823529411</v>
      </c>
      <c r="AI66" s="628"/>
    </row>
    <row r="67" spans="1:35">
      <c r="A67" s="133" t="s">
        <v>170</v>
      </c>
      <c r="B67" s="140">
        <v>2324</v>
      </c>
      <c r="C67" s="337" t="s">
        <v>208</v>
      </c>
      <c r="D67" s="352">
        <v>500</v>
      </c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>
        <f t="shared" si="21"/>
        <v>500</v>
      </c>
      <c r="R67" s="352"/>
      <c r="S67" s="352">
        <v>0</v>
      </c>
      <c r="T67" s="352">
        <v>406.66829000000001</v>
      </c>
      <c r="U67" s="389">
        <v>0</v>
      </c>
      <c r="V67" s="352">
        <v>4.8937499999999998</v>
      </c>
      <c r="W67" s="352">
        <v>26.46</v>
      </c>
      <c r="X67" s="548">
        <v>0.26200000000000001</v>
      </c>
      <c r="Y67" s="548">
        <v>21.405999999999999</v>
      </c>
      <c r="Z67" s="548">
        <v>19.132000000000001</v>
      </c>
      <c r="AA67" s="389">
        <v>0</v>
      </c>
      <c r="AB67" s="548">
        <v>15</v>
      </c>
      <c r="AC67" s="548"/>
      <c r="AD67" s="548"/>
      <c r="AE67" s="548"/>
      <c r="AF67" s="549">
        <f t="shared" si="3"/>
        <v>493.82204000000002</v>
      </c>
      <c r="AG67" s="550">
        <f t="shared" si="4"/>
        <v>98.764408000000003</v>
      </c>
      <c r="AH67" s="550">
        <f t="shared" si="18"/>
        <v>98.764408000000003</v>
      </c>
      <c r="AI67" s="628">
        <v>500</v>
      </c>
    </row>
    <row r="68" spans="1:35">
      <c r="A68" s="133" t="s">
        <v>170</v>
      </c>
      <c r="B68" s="140">
        <v>2329</v>
      </c>
      <c r="C68" s="337" t="s">
        <v>209</v>
      </c>
      <c r="D68" s="352">
        <v>200</v>
      </c>
      <c r="E68" s="352"/>
      <c r="F68" s="352"/>
      <c r="G68" s="352">
        <v>-120</v>
      </c>
      <c r="H68" s="352">
        <v>120</v>
      </c>
      <c r="I68" s="352"/>
      <c r="J68" s="352"/>
      <c r="K68" s="352">
        <v>-2</v>
      </c>
      <c r="L68" s="352"/>
      <c r="M68" s="352"/>
      <c r="N68" s="352"/>
      <c r="O68" s="352"/>
      <c r="P68" s="352"/>
      <c r="Q68" s="352">
        <f t="shared" si="21"/>
        <v>198</v>
      </c>
      <c r="R68" s="352"/>
      <c r="S68" s="352">
        <v>3.976</v>
      </c>
      <c r="T68" s="389">
        <v>0</v>
      </c>
      <c r="U68" s="389">
        <v>0</v>
      </c>
      <c r="V68" s="352">
        <v>0.129</v>
      </c>
      <c r="W68" s="352">
        <v>0.77100000000000002</v>
      </c>
      <c r="X68" s="352">
        <v>59.859499999999997</v>
      </c>
      <c r="Y68" s="389">
        <v>0</v>
      </c>
      <c r="Z68" s="389">
        <v>0</v>
      </c>
      <c r="AA68" s="352">
        <v>95.022999999999996</v>
      </c>
      <c r="AB68" s="389">
        <v>0</v>
      </c>
      <c r="AC68" s="352"/>
      <c r="AD68" s="352"/>
      <c r="AE68" s="352"/>
      <c r="AF68" s="383">
        <f t="shared" si="3"/>
        <v>159.7585</v>
      </c>
      <c r="AG68" s="347">
        <f t="shared" si="4"/>
        <v>79.879249999999999</v>
      </c>
      <c r="AH68" s="347">
        <f t="shared" si="18"/>
        <v>80.686111111111117</v>
      </c>
      <c r="AI68" s="628">
        <v>200</v>
      </c>
    </row>
    <row r="69" spans="1:35">
      <c r="A69" s="133" t="s">
        <v>170</v>
      </c>
      <c r="B69" s="140">
        <v>3111</v>
      </c>
      <c r="C69" s="337" t="s">
        <v>210</v>
      </c>
      <c r="D69" s="352">
        <v>3000</v>
      </c>
      <c r="E69" s="352"/>
      <c r="F69" s="352">
        <v>-450</v>
      </c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>
        <f t="shared" si="21"/>
        <v>2550</v>
      </c>
      <c r="R69" s="352"/>
      <c r="S69" s="352">
        <v>8.25</v>
      </c>
      <c r="T69" s="352">
        <v>20.85</v>
      </c>
      <c r="U69" s="352">
        <v>19.05</v>
      </c>
      <c r="V69" s="352">
        <v>13.5</v>
      </c>
      <c r="W69" s="352">
        <v>2.7</v>
      </c>
      <c r="X69" s="352">
        <v>8.1</v>
      </c>
      <c r="Y69" s="389">
        <v>0</v>
      </c>
      <c r="Z69" s="352">
        <v>731.1</v>
      </c>
      <c r="AA69" s="389">
        <v>0</v>
      </c>
      <c r="AB69" s="352">
        <v>339.9</v>
      </c>
      <c r="AC69" s="352"/>
      <c r="AD69" s="352"/>
      <c r="AE69" s="352"/>
      <c r="AF69" s="383">
        <f t="shared" si="3"/>
        <v>1143.45</v>
      </c>
      <c r="AG69" s="347">
        <f t="shared" si="4"/>
        <v>38.115000000000002</v>
      </c>
      <c r="AH69" s="347">
        <f t="shared" si="18"/>
        <v>44.841176470588238</v>
      </c>
      <c r="AI69" s="628">
        <v>3000</v>
      </c>
    </row>
    <row r="70" spans="1:35">
      <c r="A70" s="133" t="s">
        <v>170</v>
      </c>
      <c r="B70" s="140">
        <v>3112</v>
      </c>
      <c r="C70" s="337" t="s">
        <v>211</v>
      </c>
      <c r="D70" s="352">
        <v>1300</v>
      </c>
      <c r="E70" s="352"/>
      <c r="F70" s="352"/>
      <c r="G70" s="352">
        <v>-328</v>
      </c>
      <c r="H70" s="352"/>
      <c r="I70" s="352"/>
      <c r="J70" s="352"/>
      <c r="K70" s="352">
        <v>1000</v>
      </c>
      <c r="L70" s="352"/>
      <c r="M70" s="352">
        <v>500</v>
      </c>
      <c r="N70" s="352"/>
      <c r="O70" s="352"/>
      <c r="P70" s="352"/>
      <c r="Q70" s="352">
        <f t="shared" si="21"/>
        <v>2472</v>
      </c>
      <c r="R70" s="352"/>
      <c r="S70" s="352">
        <v>437.06</v>
      </c>
      <c r="T70" s="389">
        <v>0</v>
      </c>
      <c r="U70" s="389">
        <v>0</v>
      </c>
      <c r="V70" s="389">
        <v>0</v>
      </c>
      <c r="W70" s="352">
        <v>462.75</v>
      </c>
      <c r="X70" s="352">
        <v>624.07600000000002</v>
      </c>
      <c r="Y70" s="352">
        <v>110</v>
      </c>
      <c r="Z70" s="389">
        <v>0</v>
      </c>
      <c r="AA70" s="352">
        <v>568.12</v>
      </c>
      <c r="AB70" s="352">
        <v>77.293000000000006</v>
      </c>
      <c r="AC70" s="352"/>
      <c r="AD70" s="352"/>
      <c r="AE70" s="352"/>
      <c r="AF70" s="383">
        <f t="shared" si="3"/>
        <v>2279.299</v>
      </c>
      <c r="AG70" s="347">
        <f t="shared" si="4"/>
        <v>175.33069230769232</v>
      </c>
      <c r="AH70" s="347">
        <f t="shared" si="18"/>
        <v>92.204652103559866</v>
      </c>
      <c r="AI70" s="628">
        <v>2500</v>
      </c>
    </row>
    <row r="71" spans="1:35" hidden="1">
      <c r="A71" s="133" t="s">
        <v>170</v>
      </c>
      <c r="B71" s="140">
        <v>3113</v>
      </c>
      <c r="C71" s="337" t="s">
        <v>212</v>
      </c>
      <c r="D71" s="341">
        <v>0</v>
      </c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>
        <f t="shared" si="21"/>
        <v>0</v>
      </c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83">
        <f t="shared" si="3"/>
        <v>0</v>
      </c>
      <c r="AG71" s="340">
        <v>0</v>
      </c>
      <c r="AH71" s="347" t="e">
        <f t="shared" ref="AH71:AH88" si="22">(AF71/Q71)*100</f>
        <v>#DIV/0!</v>
      </c>
      <c r="AI71" s="628"/>
    </row>
    <row r="72" spans="1:35" hidden="1">
      <c r="A72" s="133" t="s">
        <v>213</v>
      </c>
      <c r="B72" s="140">
        <v>2222</v>
      </c>
      <c r="C72" s="337" t="s">
        <v>214</v>
      </c>
      <c r="D72" s="341">
        <v>0</v>
      </c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>
        <f t="shared" si="21"/>
        <v>0</v>
      </c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83">
        <f t="shared" ref="AF72:AF87" si="23">SUM(S72:AD72)</f>
        <v>0</v>
      </c>
      <c r="AG72" s="340">
        <v>0</v>
      </c>
      <c r="AH72" s="347" t="e">
        <f t="shared" si="22"/>
        <v>#DIV/0!</v>
      </c>
      <c r="AI72" s="628"/>
    </row>
    <row r="73" spans="1:35">
      <c r="A73" s="133" t="s">
        <v>215</v>
      </c>
      <c r="B73" s="140">
        <v>2328</v>
      </c>
      <c r="C73" s="337" t="s">
        <v>216</v>
      </c>
      <c r="D73" s="352">
        <v>1000</v>
      </c>
      <c r="E73" s="352"/>
      <c r="F73" s="352"/>
      <c r="G73" s="352"/>
      <c r="H73" s="352"/>
      <c r="I73" s="352">
        <v>-10</v>
      </c>
      <c r="J73" s="352"/>
      <c r="K73" s="352"/>
      <c r="L73" s="352">
        <v>-4</v>
      </c>
      <c r="M73" s="352">
        <v>-600</v>
      </c>
      <c r="N73" s="352">
        <v>-30</v>
      </c>
      <c r="O73" s="352"/>
      <c r="P73" s="352"/>
      <c r="Q73" s="352">
        <f t="shared" si="21"/>
        <v>356</v>
      </c>
      <c r="R73" s="352"/>
      <c r="S73" s="352">
        <v>-43.552</v>
      </c>
      <c r="T73" s="352">
        <v>356.47199999999998</v>
      </c>
      <c r="U73" s="352">
        <v>-302.40841999999998</v>
      </c>
      <c r="V73" s="352">
        <v>8.6373700000000007</v>
      </c>
      <c r="W73" s="352">
        <f>4.91549-23.16895</f>
        <v>-18.253459999999997</v>
      </c>
      <c r="X73" s="352">
        <f>440.391-3.89549</f>
        <v>436.49551000000002</v>
      </c>
      <c r="Y73" s="352">
        <f>10.603-445.994</f>
        <v>-435.39100000000002</v>
      </c>
      <c r="Z73" s="352">
        <v>9.9499999999999993</v>
      </c>
      <c r="AA73" s="352">
        <v>-11.28</v>
      </c>
      <c r="AB73" s="389">
        <v>0</v>
      </c>
      <c r="AC73" s="352"/>
      <c r="AD73" s="352"/>
      <c r="AE73" s="352"/>
      <c r="AF73" s="383">
        <f t="shared" si="23"/>
        <v>0.66999999999999993</v>
      </c>
      <c r="AG73" s="347">
        <f>(AF73/D73)*100</f>
        <v>6.699999999999999E-2</v>
      </c>
      <c r="AH73" s="347">
        <f t="shared" si="22"/>
        <v>0.18820224719101122</v>
      </c>
      <c r="AI73" s="628">
        <v>100</v>
      </c>
    </row>
    <row r="74" spans="1:35" ht="18.75">
      <c r="A74" s="137"/>
      <c r="B74" s="349"/>
      <c r="C74" s="356" t="s">
        <v>64</v>
      </c>
      <c r="D74" s="357">
        <f t="shared" ref="D74:Q74" si="24">D6+D27</f>
        <v>70170.5</v>
      </c>
      <c r="E74" s="357">
        <f t="shared" si="24"/>
        <v>0</v>
      </c>
      <c r="F74" s="357">
        <f t="shared" si="24"/>
        <v>0</v>
      </c>
      <c r="G74" s="357">
        <f t="shared" si="24"/>
        <v>6392.74</v>
      </c>
      <c r="H74" s="357">
        <f t="shared" si="24"/>
        <v>120</v>
      </c>
      <c r="I74" s="357">
        <f t="shared" si="24"/>
        <v>0</v>
      </c>
      <c r="J74" s="357">
        <f t="shared" si="24"/>
        <v>0</v>
      </c>
      <c r="K74" s="357">
        <f t="shared" si="24"/>
        <v>1936.81</v>
      </c>
      <c r="L74" s="357">
        <f t="shared" si="24"/>
        <v>890</v>
      </c>
      <c r="M74" s="357">
        <f t="shared" si="24"/>
        <v>0</v>
      </c>
      <c r="N74" s="357">
        <f t="shared" si="24"/>
        <v>800</v>
      </c>
      <c r="O74" s="357">
        <f t="shared" si="24"/>
        <v>0</v>
      </c>
      <c r="P74" s="357">
        <f t="shared" si="24"/>
        <v>0</v>
      </c>
      <c r="Q74" s="357">
        <f t="shared" si="24"/>
        <v>80310.049999999988</v>
      </c>
      <c r="R74" s="329"/>
      <c r="S74" s="357">
        <f t="shared" ref="S74:AD74" si="25">S6+S27</f>
        <v>6261.6681799999997</v>
      </c>
      <c r="T74" s="357">
        <f t="shared" si="25"/>
        <v>7394.3324799999991</v>
      </c>
      <c r="U74" s="357">
        <f t="shared" si="25"/>
        <v>11284.499659999998</v>
      </c>
      <c r="V74" s="357">
        <f t="shared" si="25"/>
        <v>8711.4145100000005</v>
      </c>
      <c r="W74" s="357">
        <f t="shared" si="25"/>
        <v>4426.9865199999995</v>
      </c>
      <c r="X74" s="357">
        <f t="shared" si="25"/>
        <v>6840.04817</v>
      </c>
      <c r="Y74" s="357">
        <f t="shared" si="25"/>
        <v>7204.1944999999996</v>
      </c>
      <c r="Z74" s="357">
        <f t="shared" si="25"/>
        <v>5907.6976100000011</v>
      </c>
      <c r="AA74" s="357">
        <f t="shared" si="25"/>
        <v>5869.9951700000001</v>
      </c>
      <c r="AB74" s="357">
        <f t="shared" si="25"/>
        <v>6818.3510000000006</v>
      </c>
      <c r="AC74" s="357">
        <f t="shared" si="25"/>
        <v>0</v>
      </c>
      <c r="AD74" s="357">
        <f t="shared" si="25"/>
        <v>0</v>
      </c>
      <c r="AE74" s="329"/>
      <c r="AF74" s="371">
        <f t="shared" si="23"/>
        <v>70719.1878</v>
      </c>
      <c r="AG74" s="357">
        <f>(AF74/D74)*100</f>
        <v>100.78193514368574</v>
      </c>
      <c r="AH74" s="357">
        <f t="shared" si="22"/>
        <v>88.057706102785403</v>
      </c>
      <c r="AI74" s="624">
        <f>AI6+AI27</f>
        <v>75007</v>
      </c>
    </row>
    <row r="75" spans="1:35" ht="15.75">
      <c r="A75" s="137"/>
      <c r="B75" s="358"/>
      <c r="C75" s="359" t="s">
        <v>65</v>
      </c>
      <c r="D75" s="359">
        <f t="shared" ref="D75:Q75" si="26">SUM(D76:D85)</f>
        <v>11654.9</v>
      </c>
      <c r="E75" s="359">
        <f t="shared" si="26"/>
        <v>0</v>
      </c>
      <c r="F75" s="359">
        <f t="shared" si="26"/>
        <v>394.51</v>
      </c>
      <c r="G75" s="359">
        <f t="shared" si="26"/>
        <v>0</v>
      </c>
      <c r="H75" s="359">
        <f t="shared" si="26"/>
        <v>514.76</v>
      </c>
      <c r="I75" s="359">
        <f t="shared" si="26"/>
        <v>185.79000000000002</v>
      </c>
      <c r="J75" s="359">
        <f t="shared" si="26"/>
        <v>396</v>
      </c>
      <c r="K75" s="359">
        <f t="shared" si="26"/>
        <v>1324.8</v>
      </c>
      <c r="L75" s="359">
        <f t="shared" si="26"/>
        <v>310.45999999999998</v>
      </c>
      <c r="M75" s="359">
        <f t="shared" si="26"/>
        <v>226.01</v>
      </c>
      <c r="N75" s="359">
        <f t="shared" si="26"/>
        <v>477.01</v>
      </c>
      <c r="O75" s="359">
        <f t="shared" si="26"/>
        <v>0</v>
      </c>
      <c r="P75" s="359">
        <f t="shared" si="26"/>
        <v>0</v>
      </c>
      <c r="Q75" s="359">
        <f t="shared" si="26"/>
        <v>15484.240000000002</v>
      </c>
      <c r="R75" s="360"/>
      <c r="S75" s="359">
        <f t="shared" ref="S75:AD75" si="27">SUM(S76:S85)</f>
        <v>1715.223</v>
      </c>
      <c r="T75" s="359">
        <f t="shared" si="27"/>
        <v>938.31599999999992</v>
      </c>
      <c r="U75" s="359">
        <f t="shared" si="27"/>
        <v>1351.4679999999998</v>
      </c>
      <c r="V75" s="359">
        <f t="shared" si="27"/>
        <v>1161.2895800000001</v>
      </c>
      <c r="W75" s="359">
        <f t="shared" si="27"/>
        <v>1010.32695</v>
      </c>
      <c r="X75" s="359">
        <f t="shared" si="27"/>
        <v>2115.7802899999997</v>
      </c>
      <c r="Y75" s="359">
        <f t="shared" si="27"/>
        <v>1478.4459999999999</v>
      </c>
      <c r="Z75" s="359">
        <f t="shared" si="27"/>
        <v>1247.17</v>
      </c>
      <c r="AA75" s="359">
        <f t="shared" si="27"/>
        <v>1136.885</v>
      </c>
      <c r="AB75" s="359">
        <f t="shared" si="27"/>
        <v>1554.55</v>
      </c>
      <c r="AC75" s="359">
        <f t="shared" si="27"/>
        <v>0</v>
      </c>
      <c r="AD75" s="359">
        <f t="shared" si="27"/>
        <v>0</v>
      </c>
      <c r="AE75" s="360"/>
      <c r="AF75" s="384">
        <f t="shared" si="23"/>
        <v>13709.454819999999</v>
      </c>
      <c r="AG75" s="359">
        <f>(AF75/D75)*100</f>
        <v>117.62824923422765</v>
      </c>
      <c r="AH75" s="359">
        <f t="shared" si="22"/>
        <v>88.538118887333169</v>
      </c>
      <c r="AI75" s="627">
        <f>SUM(AI76:AI84)</f>
        <v>11638.5</v>
      </c>
    </row>
    <row r="76" spans="1:35">
      <c r="A76" s="133" t="s">
        <v>157</v>
      </c>
      <c r="B76" s="136">
        <v>4111</v>
      </c>
      <c r="C76" s="361" t="s">
        <v>266</v>
      </c>
      <c r="D76" s="373">
        <v>0</v>
      </c>
      <c r="E76" s="362"/>
      <c r="F76" s="362"/>
      <c r="G76" s="362"/>
      <c r="H76" s="362"/>
      <c r="I76" s="362">
        <v>67</v>
      </c>
      <c r="J76" s="362"/>
      <c r="K76" s="362"/>
      <c r="L76" s="362"/>
      <c r="M76" s="362">
        <v>60</v>
      </c>
      <c r="N76" s="362">
        <v>26</v>
      </c>
      <c r="O76" s="362"/>
      <c r="P76" s="362"/>
      <c r="Q76" s="362">
        <f>SUM(D76:P76)</f>
        <v>153</v>
      </c>
      <c r="R76" s="331"/>
      <c r="S76" s="373">
        <v>0</v>
      </c>
      <c r="T76" s="373">
        <v>0</v>
      </c>
      <c r="U76" s="373">
        <v>0</v>
      </c>
      <c r="V76" s="373">
        <v>0</v>
      </c>
      <c r="W76" s="362">
        <v>67</v>
      </c>
      <c r="X76" s="373">
        <v>0</v>
      </c>
      <c r="Y76" s="373">
        <v>0</v>
      </c>
      <c r="Z76" s="373">
        <v>0</v>
      </c>
      <c r="AA76" s="373">
        <v>0</v>
      </c>
      <c r="AB76" s="362">
        <v>86</v>
      </c>
      <c r="AC76" s="362"/>
      <c r="AD76" s="362"/>
      <c r="AE76" s="331"/>
      <c r="AF76" s="385">
        <f t="shared" si="23"/>
        <v>153</v>
      </c>
      <c r="AG76" s="391">
        <v>0</v>
      </c>
      <c r="AH76" s="362">
        <f t="shared" si="22"/>
        <v>100</v>
      </c>
      <c r="AI76" s="625"/>
    </row>
    <row r="77" spans="1:35">
      <c r="A77" s="133" t="s">
        <v>157</v>
      </c>
      <c r="B77" s="136">
        <v>4112</v>
      </c>
      <c r="C77" s="361" t="s">
        <v>267</v>
      </c>
      <c r="D77" s="362">
        <v>11240.9</v>
      </c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>
        <f t="shared" ref="Q77:Q85" si="28">SUM(D77:P77)</f>
        <v>11240.9</v>
      </c>
      <c r="R77" s="331"/>
      <c r="S77" s="362">
        <v>936.70799999999997</v>
      </c>
      <c r="T77" s="362">
        <v>936.70799999999997</v>
      </c>
      <c r="U77" s="362">
        <v>936.70799999999997</v>
      </c>
      <c r="V77" s="362">
        <v>936.70799999999997</v>
      </c>
      <c r="W77" s="362">
        <v>936.70799999999997</v>
      </c>
      <c r="X77" s="362">
        <v>936.70799999999997</v>
      </c>
      <c r="Y77" s="362">
        <v>936.70799999999997</v>
      </c>
      <c r="Z77" s="362">
        <v>936.70799999999997</v>
      </c>
      <c r="AA77" s="362">
        <v>936.70799999999997</v>
      </c>
      <c r="AB77" s="362">
        <v>936.70799999999997</v>
      </c>
      <c r="AC77" s="362"/>
      <c r="AD77" s="362"/>
      <c r="AE77" s="331"/>
      <c r="AF77" s="385">
        <f t="shared" si="23"/>
        <v>9367.08</v>
      </c>
      <c r="AG77" s="362">
        <f>(AF77/D77)*100</f>
        <v>83.3303383181062</v>
      </c>
      <c r="AH77" s="362">
        <f t="shared" si="22"/>
        <v>83.3303383181062</v>
      </c>
      <c r="AI77" s="625">
        <v>11240.5</v>
      </c>
    </row>
    <row r="78" spans="1:35">
      <c r="A78" s="133" t="s">
        <v>157</v>
      </c>
      <c r="B78" s="136">
        <v>4116</v>
      </c>
      <c r="C78" s="361" t="s">
        <v>268</v>
      </c>
      <c r="D78" s="362">
        <v>384</v>
      </c>
      <c r="E78" s="362"/>
      <c r="F78" s="362"/>
      <c r="G78" s="362"/>
      <c r="H78" s="362">
        <v>514.76</v>
      </c>
      <c r="I78" s="362">
        <v>118.79</v>
      </c>
      <c r="J78" s="362"/>
      <c r="K78" s="362">
        <v>735.86</v>
      </c>
      <c r="L78" s="362">
        <v>310.45999999999998</v>
      </c>
      <c r="M78" s="362">
        <v>166.01</v>
      </c>
      <c r="N78" s="362">
        <v>120.56</v>
      </c>
      <c r="O78" s="362"/>
      <c r="P78" s="362"/>
      <c r="Q78" s="362">
        <f t="shared" si="28"/>
        <v>2350.44</v>
      </c>
      <c r="R78" s="331"/>
      <c r="S78" s="362">
        <v>384</v>
      </c>
      <c r="T78" s="373">
        <v>0</v>
      </c>
      <c r="U78" s="362">
        <v>414.76</v>
      </c>
      <c r="V78" s="362">
        <v>218.79</v>
      </c>
      <c r="W78" s="373">
        <v>0</v>
      </c>
      <c r="X78" s="362">
        <v>194.124</v>
      </c>
      <c r="Y78" s="362">
        <f>467.648+10.251+58.089+5.75</f>
        <v>541.73800000000006</v>
      </c>
      <c r="Z78" s="362">
        <v>310.46199999999999</v>
      </c>
      <c r="AA78" s="362">
        <v>200.17699999999999</v>
      </c>
      <c r="AB78" s="362">
        <v>201.39</v>
      </c>
      <c r="AC78" s="362"/>
      <c r="AD78" s="362"/>
      <c r="AE78" s="331"/>
      <c r="AF78" s="385">
        <f t="shared" si="23"/>
        <v>2465.4409999999998</v>
      </c>
      <c r="AG78" s="362">
        <f>(AF78/D78)*100</f>
        <v>642.04192708333323</v>
      </c>
      <c r="AH78" s="362">
        <f t="shared" si="22"/>
        <v>104.89274348632595</v>
      </c>
      <c r="AI78" s="625">
        <f>(48*8)-16</f>
        <v>368</v>
      </c>
    </row>
    <row r="79" spans="1:35">
      <c r="A79" s="133" t="s">
        <v>157</v>
      </c>
      <c r="B79" s="136">
        <v>4121</v>
      </c>
      <c r="C79" s="361" t="s">
        <v>269</v>
      </c>
      <c r="D79" s="362">
        <v>30</v>
      </c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>
        <f t="shared" si="28"/>
        <v>30</v>
      </c>
      <c r="R79" s="331"/>
      <c r="S79" s="373">
        <v>0</v>
      </c>
      <c r="T79" s="362">
        <v>1.6080000000000001</v>
      </c>
      <c r="U79" s="373">
        <v>0</v>
      </c>
      <c r="V79" s="362">
        <v>5.7915799999999997</v>
      </c>
      <c r="W79" s="362">
        <v>6.6189499999999999</v>
      </c>
      <c r="X79" s="373">
        <v>0</v>
      </c>
      <c r="Y79" s="373">
        <v>0</v>
      </c>
      <c r="Z79" s="373">
        <v>0</v>
      </c>
      <c r="AA79" s="373">
        <v>0</v>
      </c>
      <c r="AB79" s="373">
        <v>0</v>
      </c>
      <c r="AC79" s="362"/>
      <c r="AD79" s="362"/>
      <c r="AE79" s="331"/>
      <c r="AF79" s="385">
        <f t="shared" si="23"/>
        <v>14.01853</v>
      </c>
      <c r="AG79" s="362">
        <f>(AF79/D79)*100</f>
        <v>46.728433333333335</v>
      </c>
      <c r="AH79" s="362">
        <f t="shared" si="22"/>
        <v>46.728433333333335</v>
      </c>
      <c r="AI79" s="625">
        <v>30</v>
      </c>
    </row>
    <row r="80" spans="1:35">
      <c r="A80" s="133" t="s">
        <v>157</v>
      </c>
      <c r="B80" s="136">
        <v>4122</v>
      </c>
      <c r="C80" s="361" t="s">
        <v>270</v>
      </c>
      <c r="D80" s="373">
        <v>0</v>
      </c>
      <c r="E80" s="362"/>
      <c r="F80" s="362">
        <v>394.51</v>
      </c>
      <c r="G80" s="362"/>
      <c r="H80" s="362"/>
      <c r="I80" s="362"/>
      <c r="J80" s="362"/>
      <c r="K80" s="362"/>
      <c r="L80" s="362"/>
      <c r="M80" s="362"/>
      <c r="N80" s="362">
        <v>105.85</v>
      </c>
      <c r="O80" s="362"/>
      <c r="P80" s="362"/>
      <c r="Q80" s="362">
        <f t="shared" si="28"/>
        <v>500.36</v>
      </c>
      <c r="R80" s="331"/>
      <c r="S80" s="362">
        <v>394.51499999999999</v>
      </c>
      <c r="T80" s="373">
        <v>0</v>
      </c>
      <c r="U80" s="373">
        <v>0</v>
      </c>
      <c r="V80" s="373">
        <v>0</v>
      </c>
      <c r="W80" s="373">
        <v>0</v>
      </c>
      <c r="X80" s="373">
        <v>0</v>
      </c>
      <c r="Y80" s="373">
        <v>0</v>
      </c>
      <c r="Z80" s="373">
        <v>0</v>
      </c>
      <c r="AA80" s="373">
        <v>0</v>
      </c>
      <c r="AB80" s="362">
        <v>105.852</v>
      </c>
      <c r="AC80" s="362"/>
      <c r="AD80" s="362"/>
      <c r="AE80" s="331"/>
      <c r="AF80" s="385">
        <f t="shared" si="23"/>
        <v>500.36699999999996</v>
      </c>
      <c r="AG80" s="391">
        <v>0</v>
      </c>
      <c r="AH80" s="362">
        <f t="shared" si="22"/>
        <v>100.00139899272523</v>
      </c>
      <c r="AI80" s="625"/>
    </row>
    <row r="81" spans="1:35" hidden="1">
      <c r="A81" s="133" t="s">
        <v>157</v>
      </c>
      <c r="B81" s="136">
        <v>4123</v>
      </c>
      <c r="C81" s="361" t="s">
        <v>271</v>
      </c>
      <c r="D81" s="373">
        <v>0</v>
      </c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>
        <f t="shared" si="28"/>
        <v>0</v>
      </c>
      <c r="R81" s="331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4"/>
      <c r="AF81" s="385">
        <f t="shared" si="23"/>
        <v>0</v>
      </c>
      <c r="AG81" s="391">
        <v>0</v>
      </c>
      <c r="AH81" s="362" t="e">
        <f t="shared" si="22"/>
        <v>#DIV/0!</v>
      </c>
      <c r="AI81" s="625"/>
    </row>
    <row r="82" spans="1:35">
      <c r="A82" s="133" t="s">
        <v>157</v>
      </c>
      <c r="B82" s="136">
        <v>4213</v>
      </c>
      <c r="C82" s="361" t="s">
        <v>272</v>
      </c>
      <c r="D82" s="373">
        <v>0</v>
      </c>
      <c r="E82" s="362"/>
      <c r="F82" s="362"/>
      <c r="G82" s="362"/>
      <c r="H82" s="362"/>
      <c r="I82" s="362"/>
      <c r="J82" s="362">
        <v>396</v>
      </c>
      <c r="K82" s="362">
        <v>296.89999999999998</v>
      </c>
      <c r="L82" s="362"/>
      <c r="M82" s="362"/>
      <c r="N82" s="362"/>
      <c r="O82" s="362"/>
      <c r="P82" s="362"/>
      <c r="Q82" s="362">
        <f t="shared" si="28"/>
        <v>692.9</v>
      </c>
      <c r="R82" s="331"/>
      <c r="S82" s="362"/>
      <c r="T82" s="362"/>
      <c r="U82" s="362"/>
      <c r="V82" s="362"/>
      <c r="W82" s="362"/>
      <c r="X82" s="362">
        <v>692.90311999999994</v>
      </c>
      <c r="Y82" s="373">
        <v>0</v>
      </c>
      <c r="Z82" s="373">
        <v>0</v>
      </c>
      <c r="AA82" s="373">
        <v>0</v>
      </c>
      <c r="AB82" s="373">
        <v>0</v>
      </c>
      <c r="AC82" s="362"/>
      <c r="AD82" s="362"/>
      <c r="AE82" s="331"/>
      <c r="AF82" s="385">
        <f t="shared" si="23"/>
        <v>692.90311999999994</v>
      </c>
      <c r="AG82" s="391">
        <v>0</v>
      </c>
      <c r="AH82" s="362">
        <f t="shared" si="22"/>
        <v>100.00045028142588</v>
      </c>
      <c r="AI82" s="625"/>
    </row>
    <row r="83" spans="1:35">
      <c r="A83" s="133" t="s">
        <v>157</v>
      </c>
      <c r="B83" s="136">
        <v>4216</v>
      </c>
      <c r="C83" s="361" t="s">
        <v>273</v>
      </c>
      <c r="D83" s="373">
        <v>0</v>
      </c>
      <c r="E83" s="362"/>
      <c r="F83" s="362"/>
      <c r="G83" s="362"/>
      <c r="H83" s="362"/>
      <c r="I83" s="362"/>
      <c r="J83" s="362"/>
      <c r="K83" s="362">
        <v>292.04000000000002</v>
      </c>
      <c r="L83" s="362"/>
      <c r="M83" s="362"/>
      <c r="N83" s="362"/>
      <c r="O83" s="362"/>
      <c r="P83" s="362"/>
      <c r="Q83" s="362">
        <f t="shared" si="28"/>
        <v>292.04000000000002</v>
      </c>
      <c r="R83" s="331"/>
      <c r="S83" s="362"/>
      <c r="T83" s="362"/>
      <c r="U83" s="362"/>
      <c r="V83" s="362"/>
      <c r="W83" s="362"/>
      <c r="X83" s="362">
        <v>292.04516999999998</v>
      </c>
      <c r="Y83" s="373">
        <v>0</v>
      </c>
      <c r="Z83" s="373">
        <v>0</v>
      </c>
      <c r="AA83" s="373">
        <v>0</v>
      </c>
      <c r="AB83" s="373">
        <v>0</v>
      </c>
      <c r="AC83" s="362"/>
      <c r="AD83" s="362"/>
      <c r="AE83" s="331"/>
      <c r="AF83" s="385">
        <f t="shared" si="23"/>
        <v>292.04516999999998</v>
      </c>
      <c r="AG83" s="391">
        <v>0</v>
      </c>
      <c r="AH83" s="362">
        <f t="shared" si="22"/>
        <v>100.0017703054376</v>
      </c>
      <c r="AI83" s="625"/>
    </row>
    <row r="84" spans="1:35">
      <c r="A84" s="133" t="s">
        <v>157</v>
      </c>
      <c r="B84" s="136">
        <v>4222</v>
      </c>
      <c r="C84" s="361" t="s">
        <v>274</v>
      </c>
      <c r="D84" s="373">
        <v>0</v>
      </c>
      <c r="E84" s="362"/>
      <c r="F84" s="362"/>
      <c r="G84" s="362"/>
      <c r="H84" s="362"/>
      <c r="I84" s="362"/>
      <c r="J84" s="362"/>
      <c r="K84" s="362"/>
      <c r="L84" s="362"/>
      <c r="M84" s="362"/>
      <c r="N84" s="362">
        <v>224.6</v>
      </c>
      <c r="O84" s="362"/>
      <c r="P84" s="362"/>
      <c r="Q84" s="362">
        <f t="shared" si="28"/>
        <v>224.6</v>
      </c>
      <c r="R84" s="331"/>
      <c r="S84" s="362"/>
      <c r="T84" s="362"/>
      <c r="U84" s="362"/>
      <c r="V84" s="362"/>
      <c r="W84" s="362"/>
      <c r="X84" s="362"/>
      <c r="Y84" s="362"/>
      <c r="Z84" s="362"/>
      <c r="AA84" s="362"/>
      <c r="AB84" s="362">
        <v>224.6</v>
      </c>
      <c r="AC84" s="362"/>
      <c r="AD84" s="362"/>
      <c r="AE84" s="331"/>
      <c r="AF84" s="385">
        <f t="shared" si="23"/>
        <v>224.6</v>
      </c>
      <c r="AG84" s="391">
        <v>0</v>
      </c>
      <c r="AH84" s="362">
        <f t="shared" si="22"/>
        <v>100</v>
      </c>
      <c r="AI84" s="625"/>
    </row>
    <row r="85" spans="1:35" hidden="1">
      <c r="A85" s="133" t="s">
        <v>157</v>
      </c>
      <c r="B85" s="136">
        <v>4223</v>
      </c>
      <c r="C85" s="361" t="s">
        <v>275</v>
      </c>
      <c r="D85" s="373">
        <v>0</v>
      </c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>
        <f t="shared" si="28"/>
        <v>0</v>
      </c>
      <c r="R85" s="331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31"/>
      <c r="AF85" s="385">
        <f t="shared" si="23"/>
        <v>0</v>
      </c>
      <c r="AG85" s="391">
        <v>0</v>
      </c>
      <c r="AH85" s="362" t="e">
        <f t="shared" si="22"/>
        <v>#DIV/0!</v>
      </c>
      <c r="AI85" s="625"/>
    </row>
    <row r="86" spans="1:35">
      <c r="A86" s="133" t="s">
        <v>157</v>
      </c>
      <c r="B86" s="136">
        <v>4134</v>
      </c>
      <c r="C86" s="348" t="s">
        <v>217</v>
      </c>
      <c r="D86" s="374">
        <v>0</v>
      </c>
      <c r="E86" s="365">
        <v>200000</v>
      </c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>
        <f>SUM(D86:P86)</f>
        <v>200000</v>
      </c>
      <c r="R86" s="366"/>
      <c r="S86" s="365">
        <v>16226.52007</v>
      </c>
      <c r="T86" s="365">
        <v>17046.436399999999</v>
      </c>
      <c r="U86" s="365">
        <v>4784.3006599999999</v>
      </c>
      <c r="V86" s="365">
        <v>18711.764510000001</v>
      </c>
      <c r="W86" s="365">
        <v>15808.186519999999</v>
      </c>
      <c r="X86" s="365">
        <v>11359.550370000001</v>
      </c>
      <c r="Y86" s="365">
        <f>7186.1655+9000</f>
        <v>16186.165499999999</v>
      </c>
      <c r="Z86" s="365">
        <v>12891.15041</v>
      </c>
      <c r="AA86" s="365">
        <v>10882.275170000001</v>
      </c>
      <c r="AB86" s="365">
        <v>27329.518</v>
      </c>
      <c r="AC86" s="365"/>
      <c r="AD86" s="365"/>
      <c r="AE86" s="366"/>
      <c r="AF86" s="386">
        <f t="shared" si="23"/>
        <v>151225.86761000002</v>
      </c>
      <c r="AG86" s="392">
        <v>0</v>
      </c>
      <c r="AH86" s="367">
        <f t="shared" si="22"/>
        <v>75.612933805000011</v>
      </c>
      <c r="AI86" s="625"/>
    </row>
    <row r="87" spans="1:35">
      <c r="A87" s="133" t="s">
        <v>157</v>
      </c>
      <c r="B87" s="135">
        <v>4139</v>
      </c>
      <c r="C87" s="348" t="s">
        <v>67</v>
      </c>
      <c r="D87" s="368">
        <v>600</v>
      </c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>
        <f>SUM(D87:P87)</f>
        <v>600</v>
      </c>
      <c r="R87" s="366"/>
      <c r="S87" s="367">
        <v>0</v>
      </c>
      <c r="T87" s="367">
        <v>0</v>
      </c>
      <c r="U87" s="367">
        <v>0</v>
      </c>
      <c r="V87" s="367">
        <v>96.57</v>
      </c>
      <c r="W87" s="367">
        <v>92.251999999999995</v>
      </c>
      <c r="X87" s="392">
        <v>0</v>
      </c>
      <c r="Y87" s="392">
        <v>0</v>
      </c>
      <c r="Z87" s="367">
        <v>91.04</v>
      </c>
      <c r="AA87" s="367">
        <v>92.917000000000002</v>
      </c>
      <c r="AB87" s="367">
        <v>114.75</v>
      </c>
      <c r="AC87" s="367"/>
      <c r="AD87" s="367"/>
      <c r="AE87" s="369"/>
      <c r="AF87" s="386">
        <f t="shared" si="23"/>
        <v>487.529</v>
      </c>
      <c r="AG87" s="392">
        <f>(AF87/D87)*100</f>
        <v>81.254833333333337</v>
      </c>
      <c r="AH87" s="367">
        <f t="shared" si="22"/>
        <v>81.254833333333337</v>
      </c>
      <c r="AI87" s="625">
        <v>600</v>
      </c>
    </row>
    <row r="88" spans="1:35" ht="26.25">
      <c r="A88" s="326"/>
      <c r="B88" s="326"/>
      <c r="C88" s="370" t="s">
        <v>66</v>
      </c>
      <c r="D88" s="357">
        <f t="shared" ref="D88:Q88" si="29">D74+D75+D86+D87</f>
        <v>82425.399999999994</v>
      </c>
      <c r="E88" s="357">
        <f t="shared" si="29"/>
        <v>200000</v>
      </c>
      <c r="F88" s="357">
        <f t="shared" si="29"/>
        <v>394.51</v>
      </c>
      <c r="G88" s="357">
        <f t="shared" si="29"/>
        <v>6392.74</v>
      </c>
      <c r="H88" s="357">
        <f t="shared" si="29"/>
        <v>634.76</v>
      </c>
      <c r="I88" s="357">
        <f t="shared" si="29"/>
        <v>185.79000000000002</v>
      </c>
      <c r="J88" s="357">
        <f t="shared" si="29"/>
        <v>396</v>
      </c>
      <c r="K88" s="357">
        <f t="shared" si="29"/>
        <v>3261.6099999999997</v>
      </c>
      <c r="L88" s="357">
        <f t="shared" si="29"/>
        <v>1200.46</v>
      </c>
      <c r="M88" s="357">
        <f t="shared" si="29"/>
        <v>226.01</v>
      </c>
      <c r="N88" s="357">
        <f t="shared" si="29"/>
        <v>1277.01</v>
      </c>
      <c r="O88" s="357">
        <f t="shared" si="29"/>
        <v>0</v>
      </c>
      <c r="P88" s="357">
        <f t="shared" si="29"/>
        <v>0</v>
      </c>
      <c r="Q88" s="357">
        <f t="shared" si="29"/>
        <v>296394.28999999998</v>
      </c>
      <c r="R88" s="329"/>
      <c r="S88" s="371">
        <f t="shared" ref="S88:AD88" si="30">S74+S75+S86+S87</f>
        <v>24203.411250000001</v>
      </c>
      <c r="T88" s="371">
        <f t="shared" si="30"/>
        <v>25379.084879999999</v>
      </c>
      <c r="U88" s="371">
        <f t="shared" si="30"/>
        <v>17420.268319999999</v>
      </c>
      <c r="V88" s="371">
        <f t="shared" si="30"/>
        <v>28681.0386</v>
      </c>
      <c r="W88" s="371">
        <f t="shared" si="30"/>
        <v>21337.751989999997</v>
      </c>
      <c r="X88" s="371">
        <f t="shared" si="30"/>
        <v>20315.378830000001</v>
      </c>
      <c r="Y88" s="371">
        <f t="shared" si="30"/>
        <v>24868.805999999997</v>
      </c>
      <c r="Z88" s="371">
        <f t="shared" si="30"/>
        <v>20137.058020000004</v>
      </c>
      <c r="AA88" s="371">
        <f t="shared" si="30"/>
        <v>17982.072340000002</v>
      </c>
      <c r="AB88" s="371">
        <f t="shared" si="30"/>
        <v>35817.169000000002</v>
      </c>
      <c r="AC88" s="371">
        <f t="shared" si="30"/>
        <v>0</v>
      </c>
      <c r="AD88" s="371">
        <f t="shared" si="30"/>
        <v>0</v>
      </c>
      <c r="AE88" s="372"/>
      <c r="AF88" s="371">
        <f>AF74+AF75+AF86+AF87</f>
        <v>236142.03923000002</v>
      </c>
      <c r="AG88" s="357">
        <f>(AF88/D88)*100</f>
        <v>286.491832893744</v>
      </c>
      <c r="AH88" s="357">
        <f t="shared" si="22"/>
        <v>79.671588555231637</v>
      </c>
      <c r="AI88" s="637">
        <f>AI74+AI75+AI86+AI87</f>
        <v>87245.5</v>
      </c>
    </row>
    <row r="89" spans="1:35">
      <c r="D89" s="141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8"/>
    </row>
    <row r="90" spans="1:35">
      <c r="D90" s="141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8"/>
    </row>
    <row r="95" spans="1:35">
      <c r="W95" s="134"/>
    </row>
  </sheetData>
  <mergeCells count="1">
    <mergeCell ref="A1:C2"/>
  </mergeCells>
  <conditionalFormatting sqref="AH6:AH16 AH19:AH21">
    <cfRule type="cellIs" dxfId="10" priority="2" operator="greaterThan">
      <formula>100</formula>
    </cfRule>
  </conditionalFormatting>
  <conditionalFormatting sqref="AG6:AH88">
    <cfRule type="cellIs" dxfId="9" priority="1" operator="greaterThan">
      <formula>100</formula>
    </cfRule>
  </conditionalFormatting>
  <pageMargins left="0.19685039370078741" right="0.19685039370078741" top="0.78740157480314965" bottom="0.78740157480314965" header="0.31496062992125984" footer="0.31496062992125984"/>
  <pageSetup paperSize="9"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13" ht="15.75">
      <c r="B1" s="1"/>
      <c r="D1" s="387"/>
      <c r="E1" s="3"/>
      <c r="F1" s="3"/>
      <c r="G1" s="394"/>
      <c r="H1" s="394"/>
    </row>
    <row r="2" spans="1:13" ht="17.25" customHeight="1">
      <c r="A2" s="580" t="s">
        <v>673</v>
      </c>
      <c r="B2" s="4"/>
      <c r="D2" s="5"/>
      <c r="E2" s="6"/>
      <c r="F2" s="6"/>
      <c r="G2" s="395"/>
      <c r="H2" s="395"/>
    </row>
    <row r="3" spans="1:13" ht="17.25" customHeight="1">
      <c r="B3" s="4"/>
      <c r="D3" s="5"/>
      <c r="E3" s="6"/>
      <c r="F3" s="6"/>
      <c r="G3" s="395"/>
      <c r="H3" s="395"/>
    </row>
    <row r="4" spans="1:13" ht="39" customHeight="1">
      <c r="A4" s="75" t="s">
        <v>313</v>
      </c>
      <c r="B4" s="488" t="s">
        <v>688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13">
      <c r="A5" s="75" t="s">
        <v>466</v>
      </c>
      <c r="B5" s="11" t="s">
        <v>410</v>
      </c>
      <c r="D5" s="13">
        <v>2200</v>
      </c>
      <c r="E5" s="14">
        <v>1815.3920000000001</v>
      </c>
      <c r="F5" s="26" t="e">
        <f>(E5/#REF!)*100</f>
        <v>#REF!</v>
      </c>
      <c r="G5" s="26">
        <f t="shared" ref="G5:G29" si="0">(E5/D5)*100</f>
        <v>82.517818181818186</v>
      </c>
      <c r="H5"/>
      <c r="I5" s="594">
        <v>2550</v>
      </c>
      <c r="K5" s="85" t="e">
        <f>#REF!+#REF!+#REF!+#REF!</f>
        <v>#REF!</v>
      </c>
    </row>
    <row r="6" spans="1:13">
      <c r="B6" s="11" t="s">
        <v>325</v>
      </c>
      <c r="D6" s="13">
        <v>20</v>
      </c>
      <c r="E6" s="14">
        <v>19.940999999999999</v>
      </c>
      <c r="F6" s="26" t="e">
        <f>(E6/#REF!)*100</f>
        <v>#REF!</v>
      </c>
      <c r="G6" s="26">
        <f t="shared" si="0"/>
        <v>99.704999999999998</v>
      </c>
      <c r="H6"/>
      <c r="I6" s="594">
        <v>30</v>
      </c>
    </row>
    <row r="7" spans="1:13">
      <c r="B7" s="11" t="s">
        <v>326</v>
      </c>
      <c r="D7" s="13">
        <v>750</v>
      </c>
      <c r="E7" s="14">
        <v>629.29999999999995</v>
      </c>
      <c r="F7" s="26" t="e">
        <f>(E7/#REF!)*100</f>
        <v>#REF!</v>
      </c>
      <c r="G7" s="26">
        <f t="shared" si="0"/>
        <v>83.906666666666666</v>
      </c>
      <c r="H7"/>
      <c r="I7" s="594">
        <v>803</v>
      </c>
    </row>
    <row r="8" spans="1:13">
      <c r="B8" s="11" t="s">
        <v>327</v>
      </c>
      <c r="D8" s="13">
        <v>300</v>
      </c>
      <c r="E8" s="14">
        <v>274.74799999999999</v>
      </c>
      <c r="F8" s="26" t="e">
        <f>(E8/#REF!)*100</f>
        <v>#REF!</v>
      </c>
      <c r="G8" s="26">
        <f t="shared" si="0"/>
        <v>91.582666666666668</v>
      </c>
      <c r="H8"/>
      <c r="I8" s="594">
        <v>343</v>
      </c>
    </row>
    <row r="9" spans="1:13">
      <c r="B9" s="11" t="s">
        <v>328</v>
      </c>
      <c r="D9" s="13">
        <v>10</v>
      </c>
      <c r="E9" s="14">
        <v>8.5060000000000002</v>
      </c>
      <c r="F9" s="26" t="e">
        <f>(E9/#REF!)*100</f>
        <v>#REF!</v>
      </c>
      <c r="G9" s="26">
        <f t="shared" si="0"/>
        <v>85.06</v>
      </c>
      <c r="H9"/>
      <c r="I9" s="594">
        <v>10</v>
      </c>
    </row>
    <row r="10" spans="1:13" s="72" customFormat="1">
      <c r="A10" s="81"/>
      <c r="B10" s="27" t="s">
        <v>467</v>
      </c>
      <c r="D10" s="70">
        <v>2</v>
      </c>
      <c r="E10" s="71">
        <v>1.341</v>
      </c>
      <c r="F10" s="26" t="e">
        <f>(E10/#REF!)*100</f>
        <v>#REF!</v>
      </c>
      <c r="G10" s="26">
        <f t="shared" si="0"/>
        <v>67.05</v>
      </c>
      <c r="H10"/>
      <c r="I10" s="594">
        <v>2</v>
      </c>
    </row>
    <row r="11" spans="1:13" s="72" customFormat="1">
      <c r="A11" s="81"/>
      <c r="B11" s="28" t="s">
        <v>421</v>
      </c>
      <c r="D11" s="70"/>
      <c r="E11" s="71"/>
      <c r="F11" s="26"/>
      <c r="G11" s="26"/>
      <c r="H11"/>
      <c r="I11" s="594"/>
    </row>
    <row r="12" spans="1:13">
      <c r="B12" s="11" t="s">
        <v>329</v>
      </c>
      <c r="D12" s="23">
        <v>10</v>
      </c>
      <c r="E12" s="34">
        <v>9.2620000000000005</v>
      </c>
      <c r="F12" s="26" t="e">
        <f>(E12/#REF!)*100</f>
        <v>#REF!</v>
      </c>
      <c r="G12" s="26">
        <f t="shared" si="0"/>
        <v>92.62</v>
      </c>
      <c r="H12"/>
      <c r="I12" s="594">
        <v>10</v>
      </c>
    </row>
    <row r="13" spans="1:13">
      <c r="B13" s="11" t="s">
        <v>330</v>
      </c>
      <c r="D13" s="13">
        <v>130</v>
      </c>
      <c r="E13" s="14">
        <v>129.92699999999999</v>
      </c>
      <c r="F13" s="26" t="e">
        <f>(E13/#REF!)*100</f>
        <v>#REF!</v>
      </c>
      <c r="G13" s="26">
        <f t="shared" si="0"/>
        <v>99.943846153846152</v>
      </c>
      <c r="H13"/>
      <c r="I13" s="594">
        <v>100</v>
      </c>
    </row>
    <row r="14" spans="1:13">
      <c r="B14" s="11" t="s">
        <v>331</v>
      </c>
      <c r="D14" s="13">
        <v>540</v>
      </c>
      <c r="E14" s="14">
        <v>518.86315999999999</v>
      </c>
      <c r="F14" s="26" t="e">
        <f>(E14/#REF!)*100</f>
        <v>#REF!</v>
      </c>
      <c r="G14" s="26">
        <f t="shared" si="0"/>
        <v>96.085770370370369</v>
      </c>
      <c r="H14"/>
      <c r="I14" s="594">
        <v>400</v>
      </c>
    </row>
    <row r="15" spans="1:13" s="576" customFormat="1">
      <c r="A15" s="421" t="s">
        <v>468</v>
      </c>
      <c r="B15" s="422" t="s">
        <v>469</v>
      </c>
      <c r="C15"/>
      <c r="D15" s="13"/>
      <c r="E15" s="14"/>
      <c r="F15" s="26"/>
      <c r="G15" s="26"/>
      <c r="H15"/>
      <c r="I15" s="594">
        <v>100</v>
      </c>
      <c r="J15"/>
      <c r="K15"/>
      <c r="L15"/>
      <c r="M15"/>
    </row>
    <row r="16" spans="1:13" s="576" customFormat="1">
      <c r="A16" s="2"/>
      <c r="B16" s="11" t="s">
        <v>352</v>
      </c>
      <c r="C16"/>
      <c r="D16" s="13">
        <v>20</v>
      </c>
      <c r="E16" s="14">
        <v>15.095000000000001</v>
      </c>
      <c r="F16" s="26" t="e">
        <f>(E16/#REF!)*100</f>
        <v>#REF!</v>
      </c>
      <c r="G16" s="26">
        <f t="shared" si="0"/>
        <v>75.475000000000009</v>
      </c>
      <c r="H16"/>
      <c r="I16" s="594">
        <v>20</v>
      </c>
      <c r="J16"/>
      <c r="K16"/>
      <c r="L16"/>
      <c r="M16"/>
    </row>
    <row r="17" spans="1:13" s="576" customFormat="1">
      <c r="A17" s="2"/>
      <c r="B17" s="11" t="s">
        <v>345</v>
      </c>
      <c r="C17"/>
      <c r="D17" s="48">
        <v>82.3</v>
      </c>
      <c r="E17" s="14">
        <v>82.292919999999995</v>
      </c>
      <c r="F17" s="26" t="e">
        <f>(E17/#REF!)*100</f>
        <v>#REF!</v>
      </c>
      <c r="G17" s="26">
        <f t="shared" si="0"/>
        <v>99.991397326852976</v>
      </c>
      <c r="H17"/>
      <c r="I17" s="594">
        <v>90</v>
      </c>
      <c r="J17"/>
      <c r="K17"/>
      <c r="L17"/>
      <c r="M17"/>
    </row>
    <row r="18" spans="1:13" s="576" customFormat="1">
      <c r="A18" s="2"/>
      <c r="B18" s="11" t="s">
        <v>332</v>
      </c>
      <c r="C18"/>
      <c r="D18" s="13">
        <v>186.3</v>
      </c>
      <c r="E18" s="14">
        <v>186.21711999999999</v>
      </c>
      <c r="F18" s="26" t="e">
        <f>(E18/#REF!)*100</f>
        <v>#REF!</v>
      </c>
      <c r="G18" s="26">
        <f t="shared" si="0"/>
        <v>99.955512614063323</v>
      </c>
      <c r="H18"/>
      <c r="I18" s="594">
        <v>300</v>
      </c>
      <c r="J18"/>
      <c r="K18"/>
      <c r="L18"/>
      <c r="M18"/>
    </row>
    <row r="19" spans="1:13" s="576" customFormat="1">
      <c r="A19" s="2"/>
      <c r="B19" s="11" t="s">
        <v>333</v>
      </c>
      <c r="C19"/>
      <c r="D19" s="13">
        <v>30</v>
      </c>
      <c r="E19" s="14">
        <v>24.510059999999999</v>
      </c>
      <c r="F19" s="26" t="e">
        <f>(E19/#REF!)*100</f>
        <v>#REF!</v>
      </c>
      <c r="G19" s="26">
        <f t="shared" si="0"/>
        <v>81.700199999999995</v>
      </c>
      <c r="H19"/>
      <c r="I19" s="594">
        <v>30</v>
      </c>
      <c r="J19"/>
      <c r="K19"/>
      <c r="L19"/>
      <c r="M19"/>
    </row>
    <row r="20" spans="1:13" s="576" customFormat="1">
      <c r="A20" s="2"/>
      <c r="B20" s="11" t="s">
        <v>334</v>
      </c>
      <c r="C20"/>
      <c r="D20" s="13">
        <v>13</v>
      </c>
      <c r="E20" s="14">
        <v>12.117000000000001</v>
      </c>
      <c r="F20" s="26" t="e">
        <f>(E20/#REF!)*100</f>
        <v>#REF!</v>
      </c>
      <c r="G20" s="26">
        <f t="shared" si="0"/>
        <v>93.207692307692312</v>
      </c>
      <c r="H20"/>
      <c r="I20" s="594">
        <v>20</v>
      </c>
      <c r="J20"/>
      <c r="K20"/>
      <c r="L20"/>
      <c r="M20"/>
    </row>
    <row r="21" spans="1:13" s="576" customFormat="1" ht="12.75" hidden="1" customHeight="1">
      <c r="A21" s="2"/>
      <c r="B21" s="17"/>
      <c r="C21"/>
      <c r="D21" s="13"/>
      <c r="E21" s="14"/>
      <c r="F21" s="26" t="e">
        <f>(E21/#REF!)*100</f>
        <v>#REF!</v>
      </c>
      <c r="G21" s="26" t="e">
        <f t="shared" si="0"/>
        <v>#DIV/0!</v>
      </c>
      <c r="H21"/>
      <c r="I21" s="594"/>
      <c r="J21"/>
      <c r="K21"/>
      <c r="L21"/>
      <c r="M21"/>
    </row>
    <row r="22" spans="1:13" s="576" customFormat="1">
      <c r="A22" s="2"/>
      <c r="B22" s="11" t="s">
        <v>319</v>
      </c>
      <c r="C22"/>
      <c r="D22" s="23">
        <v>4</v>
      </c>
      <c r="E22" s="34">
        <v>3.9125000000000001</v>
      </c>
      <c r="F22" s="26" t="e">
        <f>(E22/#REF!)*100</f>
        <v>#REF!</v>
      </c>
      <c r="G22" s="26">
        <f t="shared" si="0"/>
        <v>97.8125</v>
      </c>
      <c r="H22"/>
      <c r="I22" s="594">
        <v>10</v>
      </c>
      <c r="J22"/>
      <c r="K22"/>
      <c r="L22"/>
      <c r="M22"/>
    </row>
    <row r="23" spans="1:13" s="576" customFormat="1" ht="25.5">
      <c r="A23" s="2"/>
      <c r="B23" s="399" t="s">
        <v>470</v>
      </c>
      <c r="C23"/>
      <c r="D23" s="24">
        <v>425.8</v>
      </c>
      <c r="E23" s="24">
        <v>425.71462000000002</v>
      </c>
      <c r="F23" s="26" t="e">
        <f>(E23/#REF!)*100</f>
        <v>#REF!</v>
      </c>
      <c r="G23" s="26">
        <f t="shared" si="0"/>
        <v>99.979948332550492</v>
      </c>
      <c r="H23"/>
      <c r="I23" s="594">
        <v>150</v>
      </c>
      <c r="J23"/>
      <c r="K23"/>
      <c r="L23"/>
      <c r="M23"/>
    </row>
    <row r="24" spans="1:13" s="576" customFormat="1">
      <c r="A24" s="421" t="s">
        <v>468</v>
      </c>
      <c r="B24" s="426" t="s">
        <v>471</v>
      </c>
      <c r="C24"/>
      <c r="D24" s="24"/>
      <c r="E24" s="24"/>
      <c r="F24" s="26"/>
      <c r="G24" s="26"/>
      <c r="H24"/>
      <c r="I24" s="594">
        <v>50</v>
      </c>
      <c r="J24"/>
      <c r="K24"/>
      <c r="L24"/>
      <c r="M24"/>
    </row>
    <row r="25" spans="1:13" s="576" customFormat="1" ht="28.5" customHeight="1">
      <c r="A25" s="2"/>
      <c r="B25" s="399" t="s">
        <v>472</v>
      </c>
      <c r="C25"/>
      <c r="D25" s="24">
        <v>193.86</v>
      </c>
      <c r="E25" s="25">
        <v>193.45025000000001</v>
      </c>
      <c r="F25" s="26" t="e">
        <f>(E25/#REF!)*100</f>
        <v>#REF!</v>
      </c>
      <c r="G25" s="26">
        <f t="shared" si="0"/>
        <v>99.788636129165383</v>
      </c>
      <c r="H25"/>
      <c r="I25" s="594">
        <v>300</v>
      </c>
      <c r="J25"/>
      <c r="K25"/>
      <c r="L25"/>
      <c r="M25"/>
    </row>
    <row r="26" spans="1:13" s="576" customFormat="1" ht="12.75" hidden="1" customHeight="1">
      <c r="A26" s="2"/>
      <c r="B26" s="17"/>
      <c r="C26"/>
      <c r="D26" s="13"/>
      <c r="E26" s="14"/>
      <c r="F26" s="26" t="e">
        <f>(E26/#REF!)*100</f>
        <v>#REF!</v>
      </c>
      <c r="G26" s="26" t="e">
        <f t="shared" si="0"/>
        <v>#DIV/0!</v>
      </c>
      <c r="H26"/>
      <c r="I26" s="594"/>
      <c r="J26"/>
      <c r="K26"/>
      <c r="L26"/>
      <c r="M26"/>
    </row>
    <row r="27" spans="1:13" s="576" customFormat="1" ht="12.75" customHeight="1">
      <c r="A27" s="2"/>
      <c r="B27" s="11" t="s">
        <v>416</v>
      </c>
      <c r="C27"/>
      <c r="D27" s="13">
        <v>2</v>
      </c>
      <c r="E27" s="14">
        <v>1.0680000000000001</v>
      </c>
      <c r="F27" s="26"/>
      <c r="G27" s="26">
        <f t="shared" si="0"/>
        <v>53.400000000000006</v>
      </c>
      <c r="H27"/>
      <c r="I27" s="594">
        <v>2</v>
      </c>
      <c r="J27"/>
      <c r="K27"/>
      <c r="L27"/>
      <c r="M27"/>
    </row>
    <row r="28" spans="1:13" s="576" customFormat="1" ht="12.75" customHeight="1">
      <c r="A28" s="2"/>
      <c r="B28" s="11" t="s">
        <v>418</v>
      </c>
      <c r="C28"/>
      <c r="D28" s="13">
        <v>11</v>
      </c>
      <c r="E28" s="14">
        <v>1.9419999999999999</v>
      </c>
      <c r="F28" s="26" t="e">
        <f>(E28/#REF!)*100</f>
        <v>#REF!</v>
      </c>
      <c r="G28" s="26">
        <f t="shared" si="0"/>
        <v>17.654545454545453</v>
      </c>
      <c r="H28"/>
      <c r="I28" s="594">
        <v>10</v>
      </c>
      <c r="J28"/>
      <c r="K28"/>
      <c r="L28"/>
      <c r="M28"/>
    </row>
    <row r="29" spans="1:13" s="576" customFormat="1">
      <c r="A29" s="2"/>
      <c r="B29" s="11" t="s">
        <v>338</v>
      </c>
      <c r="C29"/>
      <c r="D29" s="13">
        <v>57</v>
      </c>
      <c r="E29" s="14">
        <v>53.85</v>
      </c>
      <c r="F29" s="26" t="e">
        <f>(E29/#REF!)*100</f>
        <v>#REF!</v>
      </c>
      <c r="G29" s="26">
        <f t="shared" si="0"/>
        <v>94.473684210526315</v>
      </c>
      <c r="H29"/>
      <c r="I29" s="594">
        <v>70</v>
      </c>
      <c r="J29"/>
      <c r="K29"/>
      <c r="L29"/>
      <c r="M29"/>
    </row>
    <row r="30" spans="1:13" s="576" customFormat="1">
      <c r="A30" s="2"/>
      <c r="B30" s="18" t="s">
        <v>10</v>
      </c>
      <c r="C30"/>
      <c r="D30" s="19">
        <f>SUM(D5:D29)</f>
        <v>4987.26</v>
      </c>
      <c r="E30" s="20">
        <f>SUM(E5:E29)</f>
        <v>4407.4496300000001</v>
      </c>
      <c r="F30" s="18" t="e">
        <f>(E30/#REF!)*100</f>
        <v>#REF!</v>
      </c>
      <c r="G30" s="18">
        <f>(E30/D30)*100</f>
        <v>88.37416998512208</v>
      </c>
      <c r="H30"/>
      <c r="I30" s="595">
        <f>SUM(I5:I29)</f>
        <v>5400</v>
      </c>
      <c r="J30"/>
      <c r="K30"/>
      <c r="L30"/>
      <c r="M30"/>
    </row>
    <row r="31" spans="1:13" ht="17.25" customHeight="1">
      <c r="B31" s="4"/>
      <c r="D31" s="5"/>
      <c r="E31" s="6"/>
      <c r="F31" s="6"/>
      <c r="G31" s="395"/>
      <c r="H31"/>
    </row>
    <row r="32" spans="1:13" ht="17.25" customHeight="1">
      <c r="B32" s="4"/>
      <c r="D32" s="5"/>
      <c r="E32" s="6"/>
      <c r="F32" s="6"/>
      <c r="G32" s="395"/>
      <c r="H32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1.25" customHeight="1">
      <c r="A4" s="75" t="s">
        <v>313</v>
      </c>
      <c r="B4" s="488" t="s">
        <v>551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2" t="s">
        <v>552</v>
      </c>
      <c r="B5" s="11" t="s">
        <v>410</v>
      </c>
      <c r="D5" s="13">
        <v>85</v>
      </c>
      <c r="E5" s="14">
        <v>67.228499999999997</v>
      </c>
      <c r="F5" s="26"/>
      <c r="G5" s="26">
        <f>(E5/D5)*100</f>
        <v>79.092352941176472</v>
      </c>
      <c r="H5"/>
      <c r="I5" s="594">
        <v>345</v>
      </c>
    </row>
    <row r="6" spans="1:9">
      <c r="B6" s="17" t="s">
        <v>617</v>
      </c>
      <c r="D6" s="23">
        <v>5</v>
      </c>
      <c r="E6" s="34"/>
      <c r="F6" s="26"/>
      <c r="G6" s="26">
        <f>(E6/D6)*100</f>
        <v>0</v>
      </c>
      <c r="H6"/>
      <c r="I6" s="594">
        <v>109</v>
      </c>
    </row>
    <row r="7" spans="1:9">
      <c r="B7" s="11" t="s">
        <v>327</v>
      </c>
      <c r="D7" s="13">
        <v>4</v>
      </c>
      <c r="E7" s="14">
        <v>1.5269999999999999</v>
      </c>
      <c r="F7" s="26"/>
      <c r="G7" s="26">
        <f>(E7/D7)*100</f>
        <v>38.174999999999997</v>
      </c>
      <c r="H7"/>
      <c r="I7" s="594">
        <v>46</v>
      </c>
    </row>
    <row r="8" spans="1:9">
      <c r="B8" s="17" t="s">
        <v>320</v>
      </c>
      <c r="D8" s="410"/>
      <c r="E8" s="418"/>
      <c r="F8" s="465"/>
      <c r="G8" s="465"/>
      <c r="H8"/>
      <c r="I8" s="594"/>
    </row>
    <row r="9" spans="1:9">
      <c r="B9" s="18" t="s">
        <v>10</v>
      </c>
      <c r="D9" s="19">
        <f>SUM(D5:D7)</f>
        <v>94</v>
      </c>
      <c r="E9" s="20">
        <f>SUM(E5:E7)</f>
        <v>68.755499999999998</v>
      </c>
      <c r="F9" s="18"/>
      <c r="G9" s="18">
        <f>(E9/D9)*100</f>
        <v>73.144148936170211</v>
      </c>
      <c r="H9"/>
      <c r="I9" s="595">
        <f>SUM(I5:I8)</f>
        <v>500</v>
      </c>
    </row>
    <row r="10" spans="1:9" ht="17.25" customHeight="1">
      <c r="B10" s="4"/>
      <c r="D10" s="5"/>
      <c r="E10" s="6"/>
      <c r="F10" s="6"/>
      <c r="G10" s="395"/>
      <c r="H10"/>
    </row>
    <row r="11" spans="1:9" ht="17.25" customHeight="1">
      <c r="B11" s="4"/>
      <c r="D11" s="5"/>
      <c r="E11" s="6"/>
      <c r="F11" s="6"/>
      <c r="G11" s="395"/>
      <c r="H11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1.25" customHeight="1">
      <c r="A4" s="75" t="s">
        <v>313</v>
      </c>
      <c r="B4" s="488" t="s">
        <v>689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478</v>
      </c>
      <c r="B5" s="11" t="s">
        <v>410</v>
      </c>
      <c r="D5" s="13">
        <v>85</v>
      </c>
      <c r="E5" s="14">
        <v>67.228499999999997</v>
      </c>
      <c r="F5" s="26"/>
      <c r="G5" s="26">
        <f t="shared" ref="G5:G15" si="0">(E5/D5)*100</f>
        <v>79.092352941176472</v>
      </c>
      <c r="H5"/>
      <c r="I5" s="594">
        <v>90</v>
      </c>
    </row>
    <row r="6" spans="1:9">
      <c r="B6" s="11" t="s">
        <v>479</v>
      </c>
      <c r="D6" s="13">
        <v>29</v>
      </c>
      <c r="E6" s="14">
        <v>24.345800000000001</v>
      </c>
      <c r="F6" s="26"/>
      <c r="G6" s="26">
        <f t="shared" si="0"/>
        <v>83.951034482758629</v>
      </c>
      <c r="H6"/>
      <c r="I6" s="594">
        <v>30</v>
      </c>
    </row>
    <row r="7" spans="1:9">
      <c r="B7" s="11" t="s">
        <v>327</v>
      </c>
      <c r="D7" s="13">
        <v>12</v>
      </c>
      <c r="E7" s="14">
        <v>10.4343</v>
      </c>
      <c r="F7" s="26"/>
      <c r="G7" s="26">
        <f t="shared" si="0"/>
        <v>86.952500000000001</v>
      </c>
      <c r="H7"/>
      <c r="I7" s="594">
        <v>12</v>
      </c>
    </row>
    <row r="8" spans="1:9">
      <c r="B8" s="11" t="s">
        <v>331</v>
      </c>
      <c r="D8" s="13"/>
      <c r="E8" s="14"/>
      <c r="F8" s="26"/>
      <c r="G8" s="26"/>
      <c r="H8"/>
      <c r="I8" s="594"/>
    </row>
    <row r="9" spans="1:9">
      <c r="B9" s="11" t="s">
        <v>332</v>
      </c>
      <c r="D9" s="13">
        <v>4</v>
      </c>
      <c r="E9" s="14">
        <v>3.3959999999999999</v>
      </c>
      <c r="F9" s="26"/>
      <c r="G9" s="26">
        <f t="shared" si="0"/>
        <v>84.899999999999991</v>
      </c>
      <c r="H9"/>
      <c r="I9" s="594">
        <v>10</v>
      </c>
    </row>
    <row r="10" spans="1:9">
      <c r="B10" s="11" t="s">
        <v>412</v>
      </c>
      <c r="D10" s="13">
        <v>2</v>
      </c>
      <c r="E10" s="14">
        <v>0.26</v>
      </c>
      <c r="F10" s="26"/>
      <c r="G10" s="26">
        <f t="shared" si="0"/>
        <v>13</v>
      </c>
      <c r="H10"/>
      <c r="I10" s="594">
        <v>2</v>
      </c>
    </row>
    <row r="11" spans="1:9">
      <c r="B11" s="11" t="s">
        <v>333</v>
      </c>
      <c r="D11" s="23">
        <v>2</v>
      </c>
      <c r="E11" s="34">
        <v>0.438</v>
      </c>
      <c r="F11" s="26"/>
      <c r="G11" s="26">
        <f t="shared" si="0"/>
        <v>21.9</v>
      </c>
      <c r="H11"/>
      <c r="I11" s="594">
        <v>2</v>
      </c>
    </row>
    <row r="12" spans="1:9">
      <c r="B12" s="17" t="s">
        <v>319</v>
      </c>
      <c r="D12" s="24">
        <v>145</v>
      </c>
      <c r="E12" s="25">
        <v>17.510000000000002</v>
      </c>
      <c r="F12" s="26"/>
      <c r="G12" s="26">
        <f t="shared" si="0"/>
        <v>12.075862068965519</v>
      </c>
      <c r="H12"/>
      <c r="I12" s="594">
        <v>198</v>
      </c>
    </row>
    <row r="13" spans="1:9">
      <c r="B13" s="11" t="s">
        <v>320</v>
      </c>
      <c r="D13" s="23">
        <v>5</v>
      </c>
      <c r="E13" s="34"/>
      <c r="F13" s="26"/>
      <c r="G13" s="26">
        <f t="shared" si="0"/>
        <v>0</v>
      </c>
      <c r="H13"/>
      <c r="I13" s="594">
        <v>20</v>
      </c>
    </row>
    <row r="14" spans="1:9">
      <c r="B14" s="17" t="s">
        <v>416</v>
      </c>
      <c r="D14" s="23"/>
      <c r="E14" s="34"/>
      <c r="F14" s="26"/>
      <c r="G14" s="26"/>
      <c r="H14"/>
      <c r="I14" s="594">
        <v>4</v>
      </c>
    </row>
    <row r="15" spans="1:9">
      <c r="B15" s="17" t="s">
        <v>426</v>
      </c>
      <c r="D15" s="13">
        <v>4</v>
      </c>
      <c r="E15" s="14">
        <v>1.5269999999999999</v>
      </c>
      <c r="F15" s="26"/>
      <c r="G15" s="26">
        <f t="shared" si="0"/>
        <v>38.174999999999997</v>
      </c>
      <c r="H15"/>
      <c r="I15" s="594"/>
    </row>
    <row r="16" spans="1:9">
      <c r="B16" s="18" t="s">
        <v>10</v>
      </c>
      <c r="D16" s="19">
        <f>SUM(D5:D15)</f>
        <v>288</v>
      </c>
      <c r="E16" s="20">
        <f>SUM(E5:E15)</f>
        <v>125.13960000000002</v>
      </c>
      <c r="F16" s="18"/>
      <c r="G16" s="18">
        <f>(E16/D16)*100</f>
        <v>43.451250000000009</v>
      </c>
      <c r="H16"/>
      <c r="I16" s="595">
        <f>SUM(I5:I15)</f>
        <v>368</v>
      </c>
    </row>
    <row r="17" spans="2:9" ht="17.25" customHeight="1">
      <c r="B17" s="4"/>
      <c r="D17" s="5"/>
      <c r="E17" s="6"/>
      <c r="F17" s="6"/>
      <c r="G17" s="395"/>
      <c r="H17"/>
      <c r="I17"/>
    </row>
    <row r="18" spans="2:9" ht="17.25" customHeight="1">
      <c r="B18" s="4"/>
      <c r="D18" s="5"/>
      <c r="E18" s="6"/>
      <c r="F18" s="6"/>
      <c r="G18" s="395"/>
      <c r="H18"/>
      <c r="I1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2" customHeight="1">
      <c r="A4" s="75" t="s">
        <v>313</v>
      </c>
      <c r="B4" s="488" t="s">
        <v>690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474</v>
      </c>
      <c r="B5" s="11" t="s">
        <v>410</v>
      </c>
      <c r="D5" s="13">
        <v>557.6</v>
      </c>
      <c r="E5" s="14">
        <v>294.57400000000001</v>
      </c>
      <c r="F5" s="26" t="e">
        <f>(E5/#REF!)*100</f>
        <v>#REF!</v>
      </c>
      <c r="G5" s="26">
        <f t="shared" ref="G5:G20" si="0">(E5/D5)*100</f>
        <v>52.828909612625537</v>
      </c>
      <c r="H5"/>
      <c r="I5" s="594">
        <v>414</v>
      </c>
    </row>
    <row r="6" spans="1:9">
      <c r="B6" s="11" t="s">
        <v>326</v>
      </c>
      <c r="D6" s="13">
        <v>171</v>
      </c>
      <c r="E6" s="14">
        <v>108.23699999999999</v>
      </c>
      <c r="F6" s="26" t="e">
        <f>(E6/#REF!)*100</f>
        <v>#REF!</v>
      </c>
      <c r="G6" s="26">
        <f t="shared" si="0"/>
        <v>63.296491228070174</v>
      </c>
      <c r="H6"/>
      <c r="I6" s="594">
        <v>130</v>
      </c>
    </row>
    <row r="7" spans="1:9">
      <c r="A7"/>
      <c r="B7" s="11" t="s">
        <v>327</v>
      </c>
      <c r="D7" s="13">
        <v>70</v>
      </c>
      <c r="E7" s="14">
        <v>46.392000000000003</v>
      </c>
      <c r="F7" s="26" t="e">
        <f>(E7/#REF!)*100</f>
        <v>#REF!</v>
      </c>
      <c r="G7" s="26">
        <f t="shared" si="0"/>
        <v>66.274285714285725</v>
      </c>
      <c r="H7"/>
      <c r="I7" s="594">
        <v>65</v>
      </c>
    </row>
    <row r="8" spans="1:9">
      <c r="A8"/>
      <c r="B8" s="11" t="s">
        <v>328</v>
      </c>
      <c r="D8" s="13">
        <v>2</v>
      </c>
      <c r="E8" s="14">
        <v>1.7390000000000001</v>
      </c>
      <c r="F8" s="26" t="e">
        <f>(E8/#REF!)*100</f>
        <v>#REF!</v>
      </c>
      <c r="G8" s="26">
        <f t="shared" si="0"/>
        <v>86.95</v>
      </c>
      <c r="H8"/>
      <c r="I8" s="594"/>
    </row>
    <row r="9" spans="1:9">
      <c r="A9"/>
      <c r="B9" s="11" t="s">
        <v>411</v>
      </c>
      <c r="D9" s="48">
        <v>2</v>
      </c>
      <c r="E9" s="14">
        <v>0.25</v>
      </c>
      <c r="F9" s="26" t="e">
        <f>(E9/#REF!)*100</f>
        <v>#REF!</v>
      </c>
      <c r="G9" s="26">
        <f t="shared" si="0"/>
        <v>12.5</v>
      </c>
      <c r="H9"/>
      <c r="I9" s="594">
        <v>5</v>
      </c>
    </row>
    <row r="10" spans="1:9">
      <c r="A10"/>
      <c r="B10" s="11" t="s">
        <v>330</v>
      </c>
      <c r="D10" s="13">
        <v>10</v>
      </c>
      <c r="E10" s="14">
        <v>3.6</v>
      </c>
      <c r="F10" s="26" t="e">
        <f>(E10/#REF!)*100</f>
        <v>#REF!</v>
      </c>
      <c r="G10" s="26">
        <f t="shared" si="0"/>
        <v>36</v>
      </c>
      <c r="H10"/>
      <c r="I10" s="594">
        <v>10</v>
      </c>
    </row>
    <row r="11" spans="1:9">
      <c r="A11"/>
      <c r="B11" s="11" t="s">
        <v>331</v>
      </c>
      <c r="D11" s="13">
        <v>10</v>
      </c>
      <c r="E11" s="14">
        <v>7.40456</v>
      </c>
      <c r="F11" s="26" t="e">
        <f>(E11/#REF!)*100</f>
        <v>#REF!</v>
      </c>
      <c r="G11" s="26">
        <f t="shared" si="0"/>
        <v>74.045600000000007</v>
      </c>
      <c r="H11"/>
      <c r="I11" s="594">
        <v>5</v>
      </c>
    </row>
    <row r="12" spans="1:9">
      <c r="A12"/>
      <c r="B12" s="11" t="s">
        <v>345</v>
      </c>
      <c r="D12" s="13">
        <v>10</v>
      </c>
      <c r="E12" s="14">
        <v>7.2031900000000002</v>
      </c>
      <c r="F12" s="26" t="e">
        <f>(E12/#REF!)*100</f>
        <v>#REF!</v>
      </c>
      <c r="G12" s="26">
        <f t="shared" si="0"/>
        <v>72.031900000000007</v>
      </c>
      <c r="H12"/>
      <c r="I12" s="594">
        <v>10</v>
      </c>
    </row>
    <row r="13" spans="1:9">
      <c r="A13"/>
      <c r="B13" s="11" t="s">
        <v>332</v>
      </c>
      <c r="D13" s="13">
        <v>5</v>
      </c>
      <c r="E13" s="14"/>
      <c r="F13" s="26" t="e">
        <f>(E13/#REF!)*100</f>
        <v>#REF!</v>
      </c>
      <c r="G13" s="26">
        <f t="shared" si="0"/>
        <v>0</v>
      </c>
      <c r="H13"/>
      <c r="I13" s="594">
        <v>10</v>
      </c>
    </row>
    <row r="14" spans="1:9">
      <c r="A14"/>
      <c r="B14" s="11" t="s">
        <v>333</v>
      </c>
      <c r="D14" s="23">
        <v>44</v>
      </c>
      <c r="E14" s="34">
        <v>14.871079999999999</v>
      </c>
      <c r="F14" s="26" t="e">
        <f>(E14/#REF!)*100</f>
        <v>#REF!</v>
      </c>
      <c r="G14" s="26">
        <f t="shared" si="0"/>
        <v>33.797909090909087</v>
      </c>
      <c r="H14"/>
      <c r="I14" s="594">
        <v>20</v>
      </c>
    </row>
    <row r="15" spans="1:9">
      <c r="A15"/>
      <c r="B15" s="11" t="s">
        <v>319</v>
      </c>
      <c r="D15" s="24">
        <v>15</v>
      </c>
      <c r="E15" s="25">
        <v>9.0775000000000006</v>
      </c>
      <c r="F15" s="26" t="e">
        <f>(E15/#REF!)*100</f>
        <v>#REF!</v>
      </c>
      <c r="G15" s="26">
        <f t="shared" si="0"/>
        <v>60.516666666666673</v>
      </c>
      <c r="H15"/>
      <c r="I15" s="594">
        <v>10</v>
      </c>
    </row>
    <row r="16" spans="1:9" ht="25.5">
      <c r="A16"/>
      <c r="B16" s="399" t="s">
        <v>475</v>
      </c>
      <c r="D16" s="23">
        <v>8</v>
      </c>
      <c r="E16" s="34">
        <v>0.9718</v>
      </c>
      <c r="F16" s="26" t="e">
        <f>(E16/#REF!)*100</f>
        <v>#REF!</v>
      </c>
      <c r="G16" s="26">
        <f t="shared" si="0"/>
        <v>12.147500000000001</v>
      </c>
      <c r="H16"/>
      <c r="I16" s="594">
        <v>14</v>
      </c>
    </row>
    <row r="17" spans="1:9">
      <c r="A17"/>
      <c r="B17" s="11" t="s">
        <v>335</v>
      </c>
      <c r="D17" s="13">
        <v>5</v>
      </c>
      <c r="E17" s="14"/>
      <c r="F17" s="26" t="e">
        <f>(E17/#REF!)*100</f>
        <v>#REF!</v>
      </c>
      <c r="G17" s="26">
        <f t="shared" si="0"/>
        <v>0</v>
      </c>
      <c r="H17"/>
      <c r="I17" s="594">
        <v>4</v>
      </c>
    </row>
    <row r="18" spans="1:9">
      <c r="A18"/>
      <c r="B18" s="11" t="s">
        <v>416</v>
      </c>
      <c r="D18" s="13">
        <v>4</v>
      </c>
      <c r="E18" s="14">
        <v>1.2310000000000001</v>
      </c>
      <c r="F18" s="26" t="e">
        <f>(E18/#REF!)*100</f>
        <v>#REF!</v>
      </c>
      <c r="G18" s="26">
        <f t="shared" si="0"/>
        <v>30.775000000000002</v>
      </c>
      <c r="H18"/>
      <c r="I18" s="594">
        <v>3</v>
      </c>
    </row>
    <row r="19" spans="1:9">
      <c r="A19"/>
      <c r="B19" s="11" t="s">
        <v>476</v>
      </c>
      <c r="D19" s="13">
        <v>2</v>
      </c>
      <c r="E19" s="14">
        <v>2</v>
      </c>
      <c r="F19" s="26"/>
      <c r="G19" s="26">
        <f t="shared" si="0"/>
        <v>100</v>
      </c>
      <c r="H19"/>
      <c r="I19" s="594"/>
    </row>
    <row r="20" spans="1:9">
      <c r="A20"/>
      <c r="B20" s="11" t="s">
        <v>338</v>
      </c>
      <c r="D20" s="13">
        <v>12</v>
      </c>
      <c r="E20" s="14">
        <v>8.9749999999999996</v>
      </c>
      <c r="F20" s="26" t="e">
        <f>(E20/#REF!)*100</f>
        <v>#REF!</v>
      </c>
      <c r="G20" s="26">
        <f t="shared" si="0"/>
        <v>74.791666666666671</v>
      </c>
      <c r="H20"/>
      <c r="I20" s="594"/>
    </row>
    <row r="21" spans="1:9">
      <c r="A21"/>
      <c r="B21" s="18" t="s">
        <v>10</v>
      </c>
      <c r="D21" s="19">
        <f>SUM(D5:D20)</f>
        <v>927.6</v>
      </c>
      <c r="E21" s="20">
        <f>SUM(E5:E20)</f>
        <v>506.52613000000002</v>
      </c>
      <c r="F21" s="18" t="e">
        <f>(E21/#REF!)*100</f>
        <v>#REF!</v>
      </c>
      <c r="G21" s="18">
        <f>(E21/D21)*100</f>
        <v>54.606094221647261</v>
      </c>
      <c r="H21"/>
      <c r="I21" s="595">
        <f>SUM(I5:I20)</f>
        <v>700</v>
      </c>
    </row>
    <row r="22" spans="1:9" ht="17.25" customHeight="1">
      <c r="A22"/>
      <c r="B22" s="4"/>
      <c r="D22" s="5"/>
      <c r="E22" s="6"/>
      <c r="F22" s="6"/>
      <c r="G22" s="395"/>
      <c r="H22"/>
      <c r="I22"/>
    </row>
    <row r="23" spans="1:9" ht="17.25" customHeight="1">
      <c r="B23" s="4"/>
      <c r="D23" s="5"/>
      <c r="E23" s="6"/>
      <c r="F23" s="6"/>
      <c r="G23" s="395"/>
      <c r="H23"/>
      <c r="I23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0.5" customHeight="1">
      <c r="A4" s="75" t="s">
        <v>313</v>
      </c>
      <c r="B4" s="488" t="s">
        <v>692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81" t="s">
        <v>556</v>
      </c>
      <c r="B5" s="11" t="s">
        <v>319</v>
      </c>
      <c r="D5" s="13">
        <v>4</v>
      </c>
      <c r="E5" s="14">
        <v>0</v>
      </c>
      <c r="F5" s="26" t="e">
        <f>(E5/#REF!)*100</f>
        <v>#REF!</v>
      </c>
      <c r="G5" s="26">
        <f>(E5/D5)*100</f>
        <v>0</v>
      </c>
      <c r="H5"/>
      <c r="I5" s="594">
        <v>9</v>
      </c>
    </row>
    <row r="6" spans="1:9">
      <c r="A6" s="484"/>
      <c r="B6" s="11" t="s">
        <v>333</v>
      </c>
      <c r="D6" s="13"/>
      <c r="E6" s="14"/>
      <c r="F6" s="26"/>
      <c r="G6" s="26"/>
      <c r="H6"/>
      <c r="I6" s="594">
        <v>4</v>
      </c>
    </row>
    <row r="7" spans="1:9">
      <c r="B7" s="11" t="s">
        <v>482</v>
      </c>
      <c r="D7" s="13">
        <v>12.5</v>
      </c>
      <c r="E7" s="14">
        <v>0</v>
      </c>
      <c r="F7" s="26" t="e">
        <f>(E7/#REF!)*100</f>
        <v>#REF!</v>
      </c>
      <c r="G7" s="26">
        <f>(E7/D7)*100</f>
        <v>0</v>
      </c>
      <c r="H7"/>
      <c r="I7" s="594">
        <v>3.5</v>
      </c>
    </row>
    <row r="8" spans="1:9">
      <c r="B8" s="18" t="s">
        <v>10</v>
      </c>
      <c r="D8" s="19">
        <f>SUM(D5:D7)</f>
        <v>16.5</v>
      </c>
      <c r="E8" s="20">
        <f>SUM(E5:E7)</f>
        <v>0</v>
      </c>
      <c r="F8" s="18" t="e">
        <f>(E8/#REF!)*100</f>
        <v>#REF!</v>
      </c>
      <c r="G8" s="18">
        <f>(E8/D8)*100</f>
        <v>0</v>
      </c>
      <c r="H8"/>
      <c r="I8" s="595">
        <f>SUM(I5:I7)</f>
        <v>16.5</v>
      </c>
    </row>
    <row r="9" spans="1:9" ht="17.25" customHeight="1">
      <c r="B9" s="4"/>
      <c r="D9" s="5"/>
      <c r="E9" s="6"/>
      <c r="F9" s="6"/>
      <c r="G9" s="395"/>
      <c r="H9"/>
      <c r="I9"/>
    </row>
    <row r="10" spans="1:9" ht="17.25" customHeight="1">
      <c r="B10" s="4"/>
      <c r="D10" s="5"/>
      <c r="E10" s="6"/>
      <c r="F10" s="6"/>
      <c r="G10" s="395"/>
      <c r="H10"/>
      <c r="I1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0.5" customHeight="1">
      <c r="A4" s="75" t="s">
        <v>313</v>
      </c>
      <c r="B4" s="488" t="s">
        <v>651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81" t="s">
        <v>653</v>
      </c>
      <c r="B5" s="17" t="s">
        <v>464</v>
      </c>
      <c r="D5" s="13">
        <v>4</v>
      </c>
      <c r="E5" s="14">
        <v>0</v>
      </c>
      <c r="F5" s="26" t="e">
        <f>(E5/#REF!)*100</f>
        <v>#REF!</v>
      </c>
      <c r="G5" s="26">
        <f>(E5/D5)*100</f>
        <v>0</v>
      </c>
      <c r="H5"/>
      <c r="I5" s="594">
        <v>40</v>
      </c>
    </row>
    <row r="6" spans="1:9">
      <c r="B6" s="18" t="s">
        <v>10</v>
      </c>
      <c r="D6" s="19">
        <f>SUM(D5:D5)</f>
        <v>4</v>
      </c>
      <c r="E6" s="20">
        <f>SUM(E5:E5)</f>
        <v>0</v>
      </c>
      <c r="F6" s="18" t="e">
        <f>(E6/#REF!)*100</f>
        <v>#REF!</v>
      </c>
      <c r="G6" s="18">
        <f>(E6/D6)*100</f>
        <v>0</v>
      </c>
      <c r="H6"/>
      <c r="I6" s="595">
        <f>SUM(I5)</f>
        <v>40</v>
      </c>
    </row>
    <row r="7" spans="1:9" ht="17.25" customHeight="1">
      <c r="B7" s="4"/>
      <c r="D7" s="5"/>
      <c r="E7" s="6"/>
      <c r="F7" s="6"/>
      <c r="G7" s="395"/>
      <c r="H7"/>
      <c r="I7"/>
    </row>
    <row r="8" spans="1:9" ht="17.25" customHeight="1">
      <c r="B8" s="4"/>
      <c r="D8" s="5"/>
      <c r="E8" s="6"/>
      <c r="F8" s="6"/>
      <c r="G8" s="395"/>
      <c r="H8"/>
      <c r="I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7.5" customHeight="1">
      <c r="B4" s="488" t="s">
        <v>693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313</v>
      </c>
      <c r="B5" s="73" t="s">
        <v>30</v>
      </c>
      <c r="D5" s="45"/>
      <c r="E5" s="45"/>
      <c r="F5" s="45"/>
      <c r="G5" s="407"/>
      <c r="H5"/>
      <c r="I5" s="586"/>
    </row>
    <row r="6" spans="1:9">
      <c r="A6" s="75" t="s">
        <v>483</v>
      </c>
      <c r="B6" s="11" t="s">
        <v>329</v>
      </c>
      <c r="D6" s="23">
        <v>40</v>
      </c>
      <c r="E6" s="34"/>
      <c r="F6" s="26" t="e">
        <f>(E6/#REF!)*100</f>
        <v>#REF!</v>
      </c>
      <c r="G6" s="26">
        <f t="shared" ref="G6:G21" si="0">(E6/D6)*100</f>
        <v>0</v>
      </c>
      <c r="H6"/>
      <c r="I6" s="594">
        <v>36</v>
      </c>
    </row>
    <row r="7" spans="1:9">
      <c r="B7" s="11" t="s">
        <v>330</v>
      </c>
      <c r="D7" s="23">
        <v>60</v>
      </c>
      <c r="E7" s="34">
        <v>28.44</v>
      </c>
      <c r="F7" s="26" t="e">
        <f>(E7/#REF!)*100</f>
        <v>#REF!</v>
      </c>
      <c r="G7" s="26">
        <f t="shared" si="0"/>
        <v>47.400000000000006</v>
      </c>
      <c r="H7"/>
      <c r="I7" s="594">
        <v>105</v>
      </c>
    </row>
    <row r="8" spans="1:9">
      <c r="B8" s="11" t="s">
        <v>331</v>
      </c>
      <c r="D8" s="23">
        <v>40</v>
      </c>
      <c r="E8" s="34">
        <v>30.587</v>
      </c>
      <c r="F8" s="26"/>
      <c r="G8" s="26">
        <f t="shared" si="0"/>
        <v>76.467500000000001</v>
      </c>
      <c r="H8"/>
      <c r="I8" s="594">
        <v>20</v>
      </c>
    </row>
    <row r="9" spans="1:9">
      <c r="B9" s="11" t="s">
        <v>352</v>
      </c>
      <c r="D9" s="23">
        <v>25</v>
      </c>
      <c r="E9" s="34"/>
      <c r="F9" s="26" t="e">
        <f>(E9/#REF!)*100</f>
        <v>#REF!</v>
      </c>
      <c r="G9" s="26">
        <f t="shared" si="0"/>
        <v>0</v>
      </c>
      <c r="H9"/>
      <c r="I9" s="594"/>
    </row>
    <row r="10" spans="1:9">
      <c r="B10" s="11" t="s">
        <v>450</v>
      </c>
      <c r="D10" s="23">
        <v>60</v>
      </c>
      <c r="E10" s="34"/>
      <c r="F10" s="26" t="e">
        <f>(E10/#REF!)*100</f>
        <v>#REF!</v>
      </c>
      <c r="G10" s="26">
        <f t="shared" si="0"/>
        <v>0</v>
      </c>
      <c r="H10"/>
      <c r="I10" s="594">
        <v>60</v>
      </c>
    </row>
    <row r="11" spans="1:9">
      <c r="B11" s="11" t="s">
        <v>345</v>
      </c>
      <c r="D11" s="23">
        <v>35</v>
      </c>
      <c r="E11" s="34"/>
      <c r="F11" s="26" t="e">
        <f>(E11/#REF!)*100</f>
        <v>#REF!</v>
      </c>
      <c r="G11" s="26">
        <f t="shared" si="0"/>
        <v>0</v>
      </c>
      <c r="H11"/>
      <c r="I11" s="594">
        <v>60</v>
      </c>
    </row>
    <row r="12" spans="1:9">
      <c r="B12" s="11" t="s">
        <v>332</v>
      </c>
      <c r="D12" s="23">
        <v>80</v>
      </c>
      <c r="E12" s="34">
        <v>40.999420000000001</v>
      </c>
      <c r="F12" s="26" t="e">
        <f>(E12/#REF!)*100</f>
        <v>#REF!</v>
      </c>
      <c r="G12" s="26">
        <f t="shared" si="0"/>
        <v>51.249275000000004</v>
      </c>
      <c r="H12"/>
      <c r="I12" s="594">
        <v>80</v>
      </c>
    </row>
    <row r="13" spans="1:9">
      <c r="B13" s="11" t="s">
        <v>333</v>
      </c>
      <c r="D13" s="23">
        <v>6</v>
      </c>
      <c r="E13" s="34">
        <v>2.5457200000000002</v>
      </c>
      <c r="F13" s="26" t="e">
        <f>(E13/#REF!)*100</f>
        <v>#REF!</v>
      </c>
      <c r="G13" s="26">
        <f t="shared" si="0"/>
        <v>42.428666666666672</v>
      </c>
      <c r="H13"/>
      <c r="I13" s="594"/>
    </row>
    <row r="14" spans="1:9">
      <c r="B14" s="11" t="s">
        <v>334</v>
      </c>
      <c r="D14" s="23">
        <v>35</v>
      </c>
      <c r="E14" s="34">
        <v>34.652000000000001</v>
      </c>
      <c r="F14" s="26" t="e">
        <f>(E14/#REF!)*100</f>
        <v>#REF!</v>
      </c>
      <c r="G14" s="26">
        <f t="shared" si="0"/>
        <v>99.005714285714291</v>
      </c>
      <c r="H14"/>
      <c r="I14" s="594">
        <v>60</v>
      </c>
    </row>
    <row r="15" spans="1:9">
      <c r="B15" s="11" t="s">
        <v>319</v>
      </c>
      <c r="D15" s="23">
        <v>10</v>
      </c>
      <c r="E15" s="34">
        <v>8.86</v>
      </c>
      <c r="F15" s="26" t="e">
        <f>(E15/#REF!)*100</f>
        <v>#REF!</v>
      </c>
      <c r="G15" s="26">
        <f t="shared" si="0"/>
        <v>88.6</v>
      </c>
      <c r="H15"/>
      <c r="I15" s="594"/>
    </row>
    <row r="16" spans="1:9" ht="25.5">
      <c r="B16" s="471" t="s">
        <v>550</v>
      </c>
      <c r="D16" s="23"/>
      <c r="E16" s="34"/>
      <c r="F16" s="26"/>
      <c r="G16" s="26"/>
      <c r="H16"/>
      <c r="I16" s="594"/>
    </row>
    <row r="17" spans="1:9">
      <c r="B17" s="11" t="s">
        <v>320</v>
      </c>
      <c r="D17" s="23">
        <v>59</v>
      </c>
      <c r="E17" s="34">
        <v>33.376609999999999</v>
      </c>
      <c r="F17" s="26" t="e">
        <f>(E17/#REF!)*100</f>
        <v>#REF!</v>
      </c>
      <c r="G17" s="26">
        <f t="shared" si="0"/>
        <v>56.57052542372881</v>
      </c>
      <c r="H17"/>
      <c r="I17" s="594">
        <v>90</v>
      </c>
    </row>
    <row r="18" spans="1:9">
      <c r="B18" s="11" t="s">
        <v>335</v>
      </c>
      <c r="D18" s="23">
        <v>50</v>
      </c>
      <c r="E18" s="34">
        <v>13.994999999999999</v>
      </c>
      <c r="F18" s="26" t="e">
        <f>(E18/#REF!)*100</f>
        <v>#REF!</v>
      </c>
      <c r="G18" s="26">
        <f t="shared" si="0"/>
        <v>27.99</v>
      </c>
      <c r="H18"/>
      <c r="I18" s="594"/>
    </row>
    <row r="19" spans="1:9">
      <c r="B19" s="17" t="s">
        <v>415</v>
      </c>
      <c r="D19" s="482"/>
      <c r="E19" s="419"/>
      <c r="F19" s="465"/>
      <c r="G19" s="465"/>
      <c r="H19"/>
      <c r="I19" s="594"/>
    </row>
    <row r="20" spans="1:9">
      <c r="B20" s="11" t="s">
        <v>426</v>
      </c>
      <c r="D20" s="482"/>
      <c r="E20" s="419"/>
      <c r="F20" s="465"/>
      <c r="G20" s="465"/>
      <c r="H20"/>
      <c r="I20" s="594"/>
    </row>
    <row r="21" spans="1:9">
      <c r="B21" s="428"/>
      <c r="D21" s="39">
        <f>SUM(D6:D18)</f>
        <v>500</v>
      </c>
      <c r="E21" s="40">
        <f>SUM(E6:E18)</f>
        <v>193.45574999999999</v>
      </c>
      <c r="F21" s="401" t="e">
        <f>(E21/#REF!)*100</f>
        <v>#REF!</v>
      </c>
      <c r="G21" s="401">
        <f t="shared" si="0"/>
        <v>38.691149999999993</v>
      </c>
      <c r="H21"/>
      <c r="I21" s="595">
        <f>SUM(I6:I20)</f>
        <v>511</v>
      </c>
    </row>
    <row r="22" spans="1:9" s="72" customFormat="1">
      <c r="A22" s="81"/>
      <c r="B22" s="74"/>
      <c r="D22" s="42"/>
      <c r="E22" s="417"/>
      <c r="F22" s="429"/>
      <c r="G22" s="429"/>
      <c r="H22"/>
      <c r="I22" s="500"/>
    </row>
    <row r="23" spans="1:9">
      <c r="A23" s="75" t="s">
        <v>313</v>
      </c>
      <c r="B23" s="73" t="s">
        <v>484</v>
      </c>
      <c r="D23" s="45"/>
      <c r="E23" s="430"/>
      <c r="F23" s="430"/>
      <c r="G23" s="431"/>
      <c r="H23"/>
    </row>
    <row r="24" spans="1:9">
      <c r="A24" s="75" t="s">
        <v>485</v>
      </c>
      <c r="B24" s="11" t="s">
        <v>329</v>
      </c>
      <c r="D24" s="23">
        <v>6</v>
      </c>
      <c r="E24" s="34">
        <v>1.1890000000000001</v>
      </c>
      <c r="F24" s="26" t="e">
        <f>(E24/#REF!)*100</f>
        <v>#REF!</v>
      </c>
      <c r="G24" s="26">
        <f t="shared" ref="G24:G30" si="1">(E24/D24)*100</f>
        <v>19.81666666666667</v>
      </c>
      <c r="H24"/>
      <c r="I24" s="594"/>
    </row>
    <row r="25" spans="1:9">
      <c r="A25" s="75"/>
      <c r="B25" s="11" t="s">
        <v>330</v>
      </c>
      <c r="D25" s="23"/>
      <c r="E25" s="34"/>
      <c r="F25" s="26"/>
      <c r="G25" s="26"/>
      <c r="H25"/>
      <c r="I25" s="594">
        <v>2</v>
      </c>
    </row>
    <row r="26" spans="1:9">
      <c r="B26" s="11" t="s">
        <v>331</v>
      </c>
      <c r="D26" s="23">
        <v>5</v>
      </c>
      <c r="E26" s="34">
        <v>4.3049999999999997</v>
      </c>
      <c r="F26" s="26"/>
      <c r="G26" s="26">
        <f t="shared" si="1"/>
        <v>86.1</v>
      </c>
      <c r="H26"/>
      <c r="I26" s="594"/>
    </row>
    <row r="27" spans="1:9">
      <c r="B27" s="11" t="s">
        <v>345</v>
      </c>
      <c r="D27" s="23">
        <v>17</v>
      </c>
      <c r="E27" s="34">
        <v>16.417539999999999</v>
      </c>
      <c r="F27" s="26" t="e">
        <f>(E27/#REF!)*100</f>
        <v>#REF!</v>
      </c>
      <c r="G27" s="26">
        <f t="shared" si="1"/>
        <v>96.573764705882354</v>
      </c>
      <c r="H27"/>
      <c r="I27" s="594">
        <v>15</v>
      </c>
    </row>
    <row r="28" spans="1:9">
      <c r="B28" s="11" t="s">
        <v>332</v>
      </c>
      <c r="D28" s="23">
        <v>5</v>
      </c>
      <c r="E28" s="34">
        <v>1.58</v>
      </c>
      <c r="F28" s="26" t="e">
        <f>(E28/#REF!)*100</f>
        <v>#REF!</v>
      </c>
      <c r="G28" s="26">
        <f t="shared" si="1"/>
        <v>31.6</v>
      </c>
      <c r="H28"/>
      <c r="I28" s="594">
        <v>3</v>
      </c>
    </row>
    <row r="29" spans="1:9">
      <c r="B29" s="11" t="s">
        <v>320</v>
      </c>
      <c r="D29" s="23">
        <v>7</v>
      </c>
      <c r="E29" s="34">
        <v>4.8330000000000002</v>
      </c>
      <c r="F29" s="26" t="e">
        <f>(E29/#REF!)*100</f>
        <v>#REF!</v>
      </c>
      <c r="G29" s="26">
        <f t="shared" si="1"/>
        <v>69.042857142857144</v>
      </c>
      <c r="H29"/>
      <c r="I29" s="594">
        <v>4</v>
      </c>
    </row>
    <row r="30" spans="1:9">
      <c r="B30" s="55"/>
      <c r="D30" s="39">
        <f>SUM(D24:D29)</f>
        <v>40</v>
      </c>
      <c r="E30" s="40">
        <f>SUM(E24:E29)</f>
        <v>28.324539999999999</v>
      </c>
      <c r="F30" s="401" t="e">
        <f>(E30/#REF!)*100</f>
        <v>#REF!</v>
      </c>
      <c r="G30" s="401">
        <f t="shared" si="1"/>
        <v>70.81134999999999</v>
      </c>
      <c r="H30"/>
      <c r="I30" s="595">
        <f>SUM(I24:I29)</f>
        <v>24</v>
      </c>
    </row>
    <row r="31" spans="1:9" ht="15.75">
      <c r="B31" s="55"/>
      <c r="D31" s="4"/>
      <c r="E31" s="4"/>
      <c r="F31" s="4"/>
      <c r="G31" s="4"/>
      <c r="H31"/>
    </row>
    <row r="32" spans="1:9">
      <c r="B32" s="61" t="s">
        <v>486</v>
      </c>
      <c r="D32" s="19">
        <f>SUM(D21+D30)</f>
        <v>540</v>
      </c>
      <c r="E32" s="20">
        <f>SUM(E21+E30)</f>
        <v>221.78028999999998</v>
      </c>
      <c r="F32" s="18" t="e">
        <f>(E32/#REF!)*100</f>
        <v>#REF!</v>
      </c>
      <c r="G32" s="18">
        <f>(E32/D32)*100</f>
        <v>41.070424074074069</v>
      </c>
      <c r="H32"/>
      <c r="I32" s="595">
        <f>I21+I30</f>
        <v>535</v>
      </c>
    </row>
    <row r="33" spans="2:7" customFormat="1" ht="17.25" customHeight="1">
      <c r="B33" s="4"/>
      <c r="D33" s="5"/>
      <c r="E33" s="6"/>
      <c r="F33" s="6"/>
      <c r="G33" s="395"/>
    </row>
    <row r="34" spans="2:7" customFormat="1" ht="17.25" customHeight="1">
      <c r="B34" s="4"/>
      <c r="D34" s="5"/>
      <c r="E34" s="6"/>
      <c r="F34" s="6"/>
      <c r="G34" s="395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6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2" customHeight="1">
      <c r="A4" s="75" t="s">
        <v>313</v>
      </c>
      <c r="B4" s="488" t="s">
        <v>694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488</v>
      </c>
      <c r="B5" s="11" t="s">
        <v>489</v>
      </c>
      <c r="D5" s="13">
        <v>1300</v>
      </c>
      <c r="E5" s="14">
        <v>891.98500000000001</v>
      </c>
      <c r="F5" s="26" t="e">
        <f>(E5/#REF!)*100</f>
        <v>#REF!</v>
      </c>
      <c r="G5" s="26">
        <f>(E5/D5)*100</f>
        <v>68.614230769230772</v>
      </c>
      <c r="H5"/>
      <c r="I5" s="594">
        <v>1300</v>
      </c>
    </row>
    <row r="6" spans="1:9">
      <c r="B6" s="11" t="s">
        <v>490</v>
      </c>
      <c r="D6" s="13">
        <v>410</v>
      </c>
      <c r="E6" s="14">
        <v>280.04199999999997</v>
      </c>
      <c r="F6" s="26" t="e">
        <f>(E6/#REF!)*100</f>
        <v>#REF!</v>
      </c>
      <c r="G6" s="26">
        <f>(E6/D6)*100</f>
        <v>68.302926829268287</v>
      </c>
      <c r="H6"/>
      <c r="I6" s="594">
        <v>410</v>
      </c>
    </row>
    <row r="7" spans="1:9">
      <c r="B7" s="11" t="s">
        <v>491</v>
      </c>
      <c r="D7" s="13">
        <v>190</v>
      </c>
      <c r="E7" s="14">
        <v>150.21799999999999</v>
      </c>
      <c r="F7" s="26" t="e">
        <f>(E7/#REF!)*100</f>
        <v>#REF!</v>
      </c>
      <c r="G7" s="26">
        <f>(E7/D7)*100</f>
        <v>79.062105263157889</v>
      </c>
      <c r="H7"/>
      <c r="I7" s="594">
        <v>190</v>
      </c>
    </row>
    <row r="8" spans="1:9">
      <c r="B8" s="18" t="s">
        <v>10</v>
      </c>
      <c r="D8" s="19">
        <f>SUM(D5:D7)</f>
        <v>1900</v>
      </c>
      <c r="E8" s="20">
        <f>SUM(E5:E7)</f>
        <v>1322.2450000000001</v>
      </c>
      <c r="F8" s="18" t="e">
        <f>(E8/#REF!)*100</f>
        <v>#REF!</v>
      </c>
      <c r="G8" s="18">
        <f>(E8/D8)*100</f>
        <v>69.591842105263169</v>
      </c>
      <c r="H8"/>
      <c r="I8" s="595">
        <f>SUM(I5:I7)</f>
        <v>1900</v>
      </c>
    </row>
    <row r="9" spans="1:9" ht="17.25" customHeight="1">
      <c r="B9" s="4"/>
      <c r="D9" s="5"/>
      <c r="E9" s="6"/>
      <c r="F9" s="6"/>
      <c r="G9" s="395"/>
      <c r="H9"/>
      <c r="I9"/>
    </row>
    <row r="10" spans="1:9" ht="17.25" customHeight="1">
      <c r="B10" s="4"/>
      <c r="D10" s="5"/>
      <c r="E10" s="6"/>
      <c r="F10" s="6"/>
      <c r="G10" s="395"/>
      <c r="H10"/>
      <c r="I1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H1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6" width="11.5703125" style="84" customWidth="1"/>
    <col min="27" max="27" width="13.28515625" style="458" customWidth="1"/>
    <col min="28" max="28" width="14.85546875" hidden="1" customWidth="1"/>
    <col min="29" max="29" width="14" style="85" hidden="1" customWidth="1"/>
    <col min="30" max="31" width="11.5703125" style="84" hidden="1" customWidth="1"/>
    <col min="32" max="32" width="13.28515625" style="458" hidden="1" customWidth="1"/>
    <col min="33" max="33" width="2.28515625" style="458" customWidth="1"/>
    <col min="34" max="34" width="17" style="576" customWidth="1"/>
    <col min="35" max="35" width="2" customWidth="1"/>
    <col min="36" max="36" width="10.42578125" bestFit="1" customWidth="1"/>
    <col min="37" max="37" width="10.5703125" customWidth="1"/>
  </cols>
  <sheetData>
    <row r="1" spans="1:34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94"/>
      <c r="AC1" s="387"/>
      <c r="AD1" s="3"/>
      <c r="AE1" s="3"/>
      <c r="AF1" s="394"/>
      <c r="AG1" s="394"/>
    </row>
    <row r="2" spans="1:34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95"/>
      <c r="AC2" s="5"/>
      <c r="AD2" s="6"/>
      <c r="AE2" s="6"/>
      <c r="AF2" s="395"/>
      <c r="AG2" s="395"/>
    </row>
    <row r="3" spans="1:34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5"/>
      <c r="AC3" s="5"/>
      <c r="AD3" s="6"/>
      <c r="AE3" s="6"/>
      <c r="AF3" s="395"/>
      <c r="AG3" s="395"/>
    </row>
    <row r="4" spans="1:34" ht="41.25" customHeight="1">
      <c r="A4" s="75" t="s">
        <v>313</v>
      </c>
      <c r="B4" s="488" t="s">
        <v>697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 s="10" t="s">
        <v>309</v>
      </c>
      <c r="AA4" s="396" t="s">
        <v>7</v>
      </c>
      <c r="AC4" s="9" t="s">
        <v>315</v>
      </c>
      <c r="AD4" s="10" t="s">
        <v>316</v>
      </c>
      <c r="AE4" s="10" t="s">
        <v>309</v>
      </c>
      <c r="AF4" s="396" t="s">
        <v>7</v>
      </c>
      <c r="AG4"/>
      <c r="AH4"/>
    </row>
    <row r="5" spans="1:34">
      <c r="A5" s="483" t="s">
        <v>655</v>
      </c>
      <c r="B5" s="11" t="s">
        <v>410</v>
      </c>
      <c r="C5" s="64"/>
      <c r="D5" s="13">
        <v>10</v>
      </c>
      <c r="E5" s="14"/>
      <c r="F5" s="14"/>
      <c r="G5" s="14"/>
      <c r="H5" s="14"/>
      <c r="I5" s="14">
        <f>H5-F5</f>
        <v>0</v>
      </c>
      <c r="J5" s="14"/>
      <c r="K5" s="25">
        <f t="shared" ref="K5:K15" si="0">J5-H5</f>
        <v>0</v>
      </c>
      <c r="L5" s="14"/>
      <c r="M5" s="34">
        <f t="shared" ref="M5:M15" si="1">L5-J5</f>
        <v>0</v>
      </c>
      <c r="N5" s="14"/>
      <c r="O5" s="34">
        <f t="shared" ref="O5:O15" si="2">N5-L5</f>
        <v>0</v>
      </c>
      <c r="P5" s="14"/>
      <c r="Q5" s="14"/>
      <c r="R5" s="14"/>
      <c r="S5" s="34">
        <f t="shared" ref="S5:S15" si="3">R5-P5</f>
        <v>0</v>
      </c>
      <c r="T5" s="14"/>
      <c r="U5" s="14"/>
      <c r="V5" s="14"/>
      <c r="W5" s="14"/>
      <c r="X5" s="14"/>
      <c r="Y5" s="25">
        <f t="shared" ref="Y5:Y15" si="4">E5+G5+I5+K5+M5+O5+Q5+S5+U5+W5</f>
        <v>0</v>
      </c>
      <c r="Z5" s="26"/>
      <c r="AA5" s="26">
        <f t="shared" ref="AA5:AA16" si="5">(Y5/D5)*100</f>
        <v>0</v>
      </c>
      <c r="AC5" s="13">
        <v>8</v>
      </c>
      <c r="AD5" s="14"/>
      <c r="AE5" s="26"/>
      <c r="AF5" s="26">
        <f>(AD5/AC5)*100</f>
        <v>0</v>
      </c>
      <c r="AG5"/>
      <c r="AH5"/>
    </row>
    <row r="6" spans="1:34" hidden="1">
      <c r="B6" s="11" t="s">
        <v>492</v>
      </c>
      <c r="C6" s="64"/>
      <c r="D6" s="13"/>
      <c r="E6" s="14"/>
      <c r="F6" s="14"/>
      <c r="G6" s="14"/>
      <c r="H6" s="14"/>
      <c r="I6" s="14">
        <f t="shared" ref="I6:I15" si="6">H6-F6</f>
        <v>0</v>
      </c>
      <c r="J6" s="14"/>
      <c r="K6" s="25">
        <f t="shared" si="0"/>
        <v>0</v>
      </c>
      <c r="L6" s="14"/>
      <c r="M6" s="34">
        <f t="shared" si="1"/>
        <v>0</v>
      </c>
      <c r="N6" s="14"/>
      <c r="O6" s="34">
        <f t="shared" si="2"/>
        <v>0</v>
      </c>
      <c r="P6" s="14"/>
      <c r="Q6" s="14"/>
      <c r="R6" s="14"/>
      <c r="S6" s="34">
        <f t="shared" si="3"/>
        <v>0</v>
      </c>
      <c r="T6" s="14"/>
      <c r="U6" s="14"/>
      <c r="V6" s="14"/>
      <c r="W6" s="14"/>
      <c r="X6" s="14"/>
      <c r="Y6" s="25">
        <f t="shared" si="4"/>
        <v>0</v>
      </c>
      <c r="Z6" s="26"/>
      <c r="AA6" s="26" t="e">
        <f t="shared" si="5"/>
        <v>#DIV/0!</v>
      </c>
      <c r="AC6" s="13">
        <v>4</v>
      </c>
      <c r="AD6" s="14"/>
      <c r="AE6" s="15"/>
      <c r="AF6" s="26">
        <f t="shared" ref="AF6:AF15" si="7">(AD6/AC6)*100</f>
        <v>0</v>
      </c>
      <c r="AG6"/>
    </row>
    <row r="7" spans="1:34">
      <c r="B7" s="11" t="s">
        <v>325</v>
      </c>
      <c r="C7" s="64"/>
      <c r="D7" s="13">
        <v>59.48</v>
      </c>
      <c r="E7" s="14"/>
      <c r="F7" s="14"/>
      <c r="G7" s="14"/>
      <c r="H7" s="14"/>
      <c r="I7" s="14">
        <f t="shared" si="6"/>
        <v>0</v>
      </c>
      <c r="J7" s="14"/>
      <c r="K7" s="25">
        <f t="shared" si="0"/>
        <v>0</v>
      </c>
      <c r="L7" s="14"/>
      <c r="M7" s="34">
        <f t="shared" si="1"/>
        <v>0</v>
      </c>
      <c r="N7" s="14"/>
      <c r="O7" s="34">
        <f t="shared" si="2"/>
        <v>0</v>
      </c>
      <c r="P7" s="14"/>
      <c r="Q7" s="14"/>
      <c r="R7" s="14"/>
      <c r="S7" s="34">
        <f t="shared" si="3"/>
        <v>0</v>
      </c>
      <c r="T7" s="14"/>
      <c r="U7" s="14"/>
      <c r="V7" s="14"/>
      <c r="W7" s="14"/>
      <c r="X7" s="14"/>
      <c r="Y7" s="25">
        <f t="shared" si="4"/>
        <v>0</v>
      </c>
      <c r="Z7" s="26"/>
      <c r="AA7" s="26">
        <f t="shared" si="5"/>
        <v>0</v>
      </c>
      <c r="AC7" s="13">
        <v>40</v>
      </c>
      <c r="AD7" s="14"/>
      <c r="AE7" s="15"/>
      <c r="AF7" s="26">
        <f t="shared" si="7"/>
        <v>0</v>
      </c>
      <c r="AG7"/>
    </row>
    <row r="8" spans="1:34" hidden="1">
      <c r="B8" s="11" t="s">
        <v>479</v>
      </c>
      <c r="C8" s="64"/>
      <c r="D8" s="13"/>
      <c r="E8" s="14"/>
      <c r="F8" s="14"/>
      <c r="G8" s="14"/>
      <c r="H8" s="14"/>
      <c r="I8" s="14">
        <f t="shared" si="6"/>
        <v>0</v>
      </c>
      <c r="J8" s="14"/>
      <c r="K8" s="25">
        <f t="shared" si="0"/>
        <v>0</v>
      </c>
      <c r="L8" s="14"/>
      <c r="M8" s="34">
        <f t="shared" si="1"/>
        <v>0</v>
      </c>
      <c r="N8" s="14"/>
      <c r="O8" s="34">
        <f t="shared" si="2"/>
        <v>0</v>
      </c>
      <c r="P8" s="14"/>
      <c r="Q8" s="14"/>
      <c r="R8" s="14"/>
      <c r="S8" s="34">
        <f t="shared" si="3"/>
        <v>0</v>
      </c>
      <c r="T8" s="14"/>
      <c r="U8" s="14"/>
      <c r="V8" s="14"/>
      <c r="W8" s="14"/>
      <c r="X8" s="14"/>
      <c r="Y8" s="25">
        <f t="shared" si="4"/>
        <v>0</v>
      </c>
      <c r="Z8" s="26"/>
      <c r="AA8" s="26" t="e">
        <f t="shared" si="5"/>
        <v>#DIV/0!</v>
      </c>
      <c r="AC8" s="13">
        <v>3</v>
      </c>
      <c r="AD8" s="14"/>
      <c r="AE8" s="15"/>
      <c r="AF8" s="26">
        <f t="shared" si="7"/>
        <v>0</v>
      </c>
      <c r="AG8"/>
      <c r="AH8"/>
    </row>
    <row r="9" spans="1:34" hidden="1">
      <c r="B9" s="11" t="s">
        <v>327</v>
      </c>
      <c r="C9" s="64"/>
      <c r="D9" s="13"/>
      <c r="E9" s="14"/>
      <c r="F9" s="14"/>
      <c r="G9" s="14"/>
      <c r="H9" s="14"/>
      <c r="I9" s="14">
        <f t="shared" si="6"/>
        <v>0</v>
      </c>
      <c r="J9" s="14"/>
      <c r="K9" s="25">
        <f t="shared" si="0"/>
        <v>0</v>
      </c>
      <c r="L9" s="14"/>
      <c r="M9" s="34">
        <f t="shared" si="1"/>
        <v>0</v>
      </c>
      <c r="N9" s="14"/>
      <c r="O9" s="34">
        <f t="shared" si="2"/>
        <v>0</v>
      </c>
      <c r="P9" s="14"/>
      <c r="Q9" s="14"/>
      <c r="R9" s="14"/>
      <c r="S9" s="34">
        <f t="shared" si="3"/>
        <v>0</v>
      </c>
      <c r="T9" s="14"/>
      <c r="U9" s="14"/>
      <c r="V9" s="14"/>
      <c r="W9" s="14"/>
      <c r="X9" s="14"/>
      <c r="Y9" s="25">
        <f t="shared" si="4"/>
        <v>0</v>
      </c>
      <c r="Z9" s="26"/>
      <c r="AA9" s="26" t="e">
        <f t="shared" si="5"/>
        <v>#DIV/0!</v>
      </c>
      <c r="AC9" s="13">
        <v>2</v>
      </c>
      <c r="AD9" s="14"/>
      <c r="AE9" s="15"/>
      <c r="AF9" s="26">
        <f t="shared" si="7"/>
        <v>0</v>
      </c>
      <c r="AG9"/>
      <c r="AH9"/>
    </row>
    <row r="10" spans="1:34">
      <c r="B10" s="11" t="s">
        <v>331</v>
      </c>
      <c r="C10" s="64"/>
      <c r="D10" s="13">
        <v>2.19</v>
      </c>
      <c r="E10" s="14"/>
      <c r="F10" s="14"/>
      <c r="G10" s="14"/>
      <c r="H10" s="14"/>
      <c r="I10" s="14">
        <f t="shared" si="6"/>
        <v>0</v>
      </c>
      <c r="J10" s="14"/>
      <c r="K10" s="25">
        <f t="shared" si="0"/>
        <v>0</v>
      </c>
      <c r="L10" s="14"/>
      <c r="M10" s="34">
        <f t="shared" si="1"/>
        <v>0</v>
      </c>
      <c r="N10" s="14"/>
      <c r="O10" s="34">
        <f t="shared" si="2"/>
        <v>0</v>
      </c>
      <c r="P10" s="14"/>
      <c r="Q10" s="14"/>
      <c r="R10" s="14">
        <v>2.1819999999999999</v>
      </c>
      <c r="S10" s="34">
        <f t="shared" si="3"/>
        <v>2.1819999999999999</v>
      </c>
      <c r="T10" s="14"/>
      <c r="U10" s="14"/>
      <c r="V10" s="14"/>
      <c r="W10" s="14"/>
      <c r="X10" s="14"/>
      <c r="Y10" s="25">
        <f t="shared" si="4"/>
        <v>2.1819999999999999</v>
      </c>
      <c r="Z10" s="26"/>
      <c r="AA10" s="26">
        <f t="shared" si="5"/>
        <v>99.634703196347033</v>
      </c>
      <c r="AC10" s="13">
        <v>1</v>
      </c>
      <c r="AD10" s="14">
        <v>4.1000000000000002E-2</v>
      </c>
      <c r="AE10" s="15"/>
      <c r="AF10" s="26">
        <f t="shared" si="7"/>
        <v>4.1000000000000005</v>
      </c>
      <c r="AG10"/>
      <c r="AH10"/>
    </row>
    <row r="11" spans="1:34" hidden="1">
      <c r="B11" s="11" t="s">
        <v>332</v>
      </c>
      <c r="C11" s="64"/>
      <c r="D11" s="13"/>
      <c r="E11" s="14"/>
      <c r="F11" s="14"/>
      <c r="G11" s="14"/>
      <c r="H11" s="14"/>
      <c r="I11" s="14">
        <f t="shared" si="6"/>
        <v>0</v>
      </c>
      <c r="J11" s="14"/>
      <c r="K11" s="25">
        <f t="shared" si="0"/>
        <v>0</v>
      </c>
      <c r="L11" s="14"/>
      <c r="M11" s="34">
        <f t="shared" si="1"/>
        <v>0</v>
      </c>
      <c r="N11" s="14"/>
      <c r="O11" s="34">
        <f t="shared" si="2"/>
        <v>0</v>
      </c>
      <c r="P11" s="14"/>
      <c r="Q11" s="14"/>
      <c r="R11" s="14"/>
      <c r="S11" s="34">
        <f t="shared" si="3"/>
        <v>0</v>
      </c>
      <c r="T11" s="14"/>
      <c r="U11" s="14"/>
      <c r="V11" s="14"/>
      <c r="W11" s="14"/>
      <c r="X11" s="14"/>
      <c r="Y11" s="25">
        <f t="shared" si="4"/>
        <v>0</v>
      </c>
      <c r="Z11" s="26"/>
      <c r="AA11" s="26" t="e">
        <f t="shared" si="5"/>
        <v>#DIV/0!</v>
      </c>
      <c r="AC11" s="13">
        <v>6</v>
      </c>
      <c r="AD11" s="14"/>
      <c r="AE11" s="15"/>
      <c r="AF11" s="26">
        <f t="shared" si="7"/>
        <v>0</v>
      </c>
      <c r="AG11"/>
      <c r="AH11"/>
    </row>
    <row r="12" spans="1:34">
      <c r="B12" s="11" t="s">
        <v>412</v>
      </c>
      <c r="C12" s="64"/>
      <c r="D12" s="13">
        <v>5</v>
      </c>
      <c r="E12" s="14"/>
      <c r="F12" s="14"/>
      <c r="G12" s="14"/>
      <c r="H12" s="14"/>
      <c r="I12" s="14">
        <f t="shared" si="6"/>
        <v>0</v>
      </c>
      <c r="J12" s="14"/>
      <c r="K12" s="25">
        <f t="shared" si="0"/>
        <v>0</v>
      </c>
      <c r="L12" s="14"/>
      <c r="M12" s="34">
        <f t="shared" si="1"/>
        <v>0</v>
      </c>
      <c r="N12" s="14"/>
      <c r="O12" s="34">
        <f t="shared" si="2"/>
        <v>0</v>
      </c>
      <c r="P12" s="14"/>
      <c r="Q12" s="14"/>
      <c r="R12" s="14">
        <v>4.7169999999999996</v>
      </c>
      <c r="S12" s="34">
        <f t="shared" si="3"/>
        <v>4.7169999999999996</v>
      </c>
      <c r="T12" s="14"/>
      <c r="U12" s="14"/>
      <c r="V12" s="14"/>
      <c r="W12" s="14"/>
      <c r="X12" s="14"/>
      <c r="Y12" s="25">
        <f t="shared" si="4"/>
        <v>4.7169999999999996</v>
      </c>
      <c r="Z12" s="26"/>
      <c r="AA12" s="26">
        <f t="shared" si="5"/>
        <v>94.339999999999989</v>
      </c>
      <c r="AC12" s="13">
        <v>1</v>
      </c>
      <c r="AD12" s="14">
        <v>0.27300000000000002</v>
      </c>
      <c r="AE12" s="15"/>
      <c r="AF12" s="26">
        <f t="shared" si="7"/>
        <v>27.3</v>
      </c>
      <c r="AG12"/>
      <c r="AH12"/>
    </row>
    <row r="13" spans="1:34">
      <c r="B13" s="75" t="s">
        <v>425</v>
      </c>
      <c r="C13" s="64"/>
      <c r="D13" s="13">
        <v>5</v>
      </c>
      <c r="E13" s="14"/>
      <c r="F13" s="14"/>
      <c r="G13" s="14"/>
      <c r="H13" s="14"/>
      <c r="I13" s="14">
        <f t="shared" si="6"/>
        <v>0</v>
      </c>
      <c r="J13" s="14"/>
      <c r="K13" s="25">
        <f t="shared" si="0"/>
        <v>0</v>
      </c>
      <c r="L13" s="14"/>
      <c r="M13" s="34">
        <f t="shared" si="1"/>
        <v>0</v>
      </c>
      <c r="N13" s="14"/>
      <c r="O13" s="34">
        <f t="shared" si="2"/>
        <v>0</v>
      </c>
      <c r="P13" s="14"/>
      <c r="Q13" s="14"/>
      <c r="R13" s="14">
        <v>4.84</v>
      </c>
      <c r="S13" s="34">
        <f t="shared" si="3"/>
        <v>4.84</v>
      </c>
      <c r="T13" s="14"/>
      <c r="U13" s="14"/>
      <c r="V13" s="14"/>
      <c r="W13" s="14"/>
      <c r="X13" s="14"/>
      <c r="Y13" s="25">
        <f t="shared" si="4"/>
        <v>4.84</v>
      </c>
      <c r="Z13" s="26"/>
      <c r="AA13" s="26">
        <f t="shared" si="5"/>
        <v>96.8</v>
      </c>
      <c r="AC13" s="13">
        <v>5</v>
      </c>
      <c r="AD13" s="14"/>
      <c r="AE13" s="15"/>
      <c r="AF13" s="26">
        <f t="shared" si="7"/>
        <v>0</v>
      </c>
      <c r="AG13"/>
      <c r="AH13"/>
    </row>
    <row r="14" spans="1:34">
      <c r="B14" s="11" t="s">
        <v>320</v>
      </c>
      <c r="C14" s="64"/>
      <c r="D14" s="13">
        <v>0.5</v>
      </c>
      <c r="E14" s="14"/>
      <c r="F14" s="14"/>
      <c r="G14" s="14"/>
      <c r="H14" s="14"/>
      <c r="I14" s="14"/>
      <c r="J14" s="14"/>
      <c r="K14" s="25"/>
      <c r="L14" s="14"/>
      <c r="M14" s="34"/>
      <c r="N14" s="14"/>
      <c r="O14" s="34"/>
      <c r="P14" s="14"/>
      <c r="Q14" s="14"/>
      <c r="R14" s="14">
        <v>0.09</v>
      </c>
      <c r="S14" s="34">
        <f t="shared" si="3"/>
        <v>0.09</v>
      </c>
      <c r="T14" s="14"/>
      <c r="U14" s="14"/>
      <c r="V14" s="14"/>
      <c r="W14" s="14"/>
      <c r="X14" s="14"/>
      <c r="Y14" s="25">
        <f t="shared" si="4"/>
        <v>0.09</v>
      </c>
      <c r="Z14" s="26"/>
      <c r="AA14" s="26"/>
      <c r="AC14" s="13"/>
      <c r="AD14" s="14"/>
      <c r="AE14" s="15"/>
      <c r="AF14" s="26"/>
      <c r="AG14"/>
      <c r="AH14"/>
    </row>
    <row r="15" spans="1:34">
      <c r="B15" s="17" t="s">
        <v>499</v>
      </c>
      <c r="C15" s="64"/>
      <c r="D15" s="13">
        <v>3.83</v>
      </c>
      <c r="E15" s="14"/>
      <c r="F15" s="14"/>
      <c r="G15" s="14"/>
      <c r="H15" s="14"/>
      <c r="I15" s="14">
        <f t="shared" si="6"/>
        <v>0</v>
      </c>
      <c r="J15" s="14"/>
      <c r="K15" s="25">
        <f t="shared" si="0"/>
        <v>0</v>
      </c>
      <c r="L15" s="14"/>
      <c r="M15" s="34">
        <f t="shared" si="1"/>
        <v>0</v>
      </c>
      <c r="N15" s="14"/>
      <c r="O15" s="34">
        <f t="shared" si="2"/>
        <v>0</v>
      </c>
      <c r="P15" s="14"/>
      <c r="Q15" s="14"/>
      <c r="R15" s="14">
        <v>3.8279999999999998</v>
      </c>
      <c r="S15" s="34">
        <f t="shared" si="3"/>
        <v>3.8279999999999998</v>
      </c>
      <c r="T15" s="14"/>
      <c r="U15" s="14"/>
      <c r="V15" s="14"/>
      <c r="W15" s="14"/>
      <c r="X15" s="14"/>
      <c r="Y15" s="25">
        <f t="shared" si="4"/>
        <v>3.8279999999999998</v>
      </c>
      <c r="Z15" s="26"/>
      <c r="AA15" s="26">
        <f t="shared" si="5"/>
        <v>99.947780678851174</v>
      </c>
      <c r="AC15" s="13">
        <v>4</v>
      </c>
      <c r="AD15" s="14">
        <v>3.036</v>
      </c>
      <c r="AE15" s="15"/>
      <c r="AF15" s="26">
        <f t="shared" si="7"/>
        <v>75.900000000000006</v>
      </c>
      <c r="AG15"/>
      <c r="AH15"/>
    </row>
    <row r="16" spans="1:34">
      <c r="B16" s="18" t="s">
        <v>10</v>
      </c>
      <c r="C16" s="19">
        <f>SUM(C5:C15)</f>
        <v>0</v>
      </c>
      <c r="D16" s="19">
        <f>SUM(D5:D15)</f>
        <v>85.999999999999986</v>
      </c>
      <c r="E16" s="20">
        <f t="shared" ref="E16:W16" si="8">SUM(E5:E15)</f>
        <v>0</v>
      </c>
      <c r="F16" s="20">
        <f t="shared" si="8"/>
        <v>0</v>
      </c>
      <c r="G16" s="20">
        <f t="shared" si="8"/>
        <v>0</v>
      </c>
      <c r="H16" s="20">
        <f t="shared" si="8"/>
        <v>0</v>
      </c>
      <c r="I16" s="20">
        <f t="shared" si="8"/>
        <v>0</v>
      </c>
      <c r="J16" s="20">
        <f t="shared" si="8"/>
        <v>0</v>
      </c>
      <c r="K16" s="20">
        <f t="shared" si="8"/>
        <v>0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15.656999999999998</v>
      </c>
      <c r="S16" s="20">
        <f t="shared" si="8"/>
        <v>15.656999999999998</v>
      </c>
      <c r="T16" s="20">
        <f t="shared" si="8"/>
        <v>0</v>
      </c>
      <c r="U16" s="20">
        <f t="shared" si="8"/>
        <v>0</v>
      </c>
      <c r="V16" s="20">
        <f t="shared" si="8"/>
        <v>0</v>
      </c>
      <c r="W16" s="20">
        <f t="shared" si="8"/>
        <v>0</v>
      </c>
      <c r="X16" s="20"/>
      <c r="Y16" s="20">
        <f>SUM(Y5:Y15)</f>
        <v>15.656999999999998</v>
      </c>
      <c r="Z16" s="18"/>
      <c r="AA16" s="18">
        <f t="shared" si="5"/>
        <v>18.205813953488374</v>
      </c>
      <c r="AC16" s="19">
        <f>SUM(AC5:AC15)</f>
        <v>74</v>
      </c>
      <c r="AD16" s="20">
        <f>SUM(AD5:AD15)</f>
        <v>3.35</v>
      </c>
      <c r="AE16" s="18"/>
      <c r="AF16" s="18">
        <f>(AD16/AC16)*100</f>
        <v>4.5270270270270272</v>
      </c>
      <c r="AG16"/>
      <c r="AH16"/>
    </row>
    <row r="17" spans="2:32" customFormat="1" ht="17.25" customHeight="1">
      <c r="B17" s="4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95"/>
      <c r="AC17" s="5"/>
      <c r="AD17" s="6"/>
      <c r="AE17" s="6"/>
      <c r="AF17" s="395"/>
    </row>
    <row r="18" spans="2:32" customFormat="1" ht="17.25" customHeight="1">
      <c r="B18" s="4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95"/>
      <c r="AC18" s="5"/>
      <c r="AD18" s="6"/>
      <c r="AE18" s="6"/>
      <c r="AF18" s="395"/>
    </row>
  </sheetData>
  <conditionalFormatting sqref="Z5:AA16">
    <cfRule type="cellIs" dxfId="6" priority="3" operator="greaterThan">
      <formula>100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H17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7" width="11.5703125" style="84" hidden="1" customWidth="1"/>
    <col min="18" max="19" width="11.5703125" style="84" customWidth="1"/>
    <col min="20" max="22" width="11.5703125" style="84" hidden="1" customWidth="1"/>
    <col min="23" max="23" width="1" style="84" hidden="1" customWidth="1"/>
    <col min="24" max="24" width="3.28515625" style="84" customWidth="1"/>
    <col min="25" max="26" width="11.5703125" style="84" customWidth="1"/>
    <col min="27" max="27" width="13.28515625" style="458" customWidth="1"/>
    <col min="28" max="28" width="14.85546875" hidden="1" customWidth="1"/>
    <col min="29" max="29" width="14" style="85" hidden="1" customWidth="1"/>
    <col min="30" max="31" width="11.5703125" style="84" hidden="1" customWidth="1"/>
    <col min="32" max="32" width="13.28515625" style="458" hidden="1" customWidth="1"/>
    <col min="33" max="33" width="2.28515625" style="458" customWidth="1"/>
    <col min="34" max="34" width="17" style="579" customWidth="1"/>
    <col min="35" max="35" width="2" customWidth="1"/>
    <col min="36" max="36" width="10.42578125" bestFit="1" customWidth="1"/>
    <col min="37" max="37" width="10.5703125" customWidth="1"/>
  </cols>
  <sheetData>
    <row r="1" spans="1:34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94"/>
      <c r="AC1" s="387"/>
      <c r="AD1" s="3"/>
      <c r="AE1" s="3"/>
      <c r="AF1" s="394"/>
      <c r="AG1" s="394"/>
    </row>
    <row r="2" spans="1:34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95"/>
      <c r="AC2" s="5"/>
      <c r="AD2" s="6"/>
      <c r="AE2" s="6"/>
      <c r="AF2" s="395"/>
      <c r="AG2" s="395"/>
    </row>
    <row r="3" spans="1:34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5"/>
      <c r="AC3" s="5"/>
      <c r="AD3" s="6"/>
      <c r="AE3" s="6"/>
      <c r="AF3" s="395"/>
      <c r="AG3" s="395"/>
    </row>
    <row r="4" spans="1:34" ht="41.25" customHeight="1">
      <c r="A4" s="75" t="s">
        <v>313</v>
      </c>
      <c r="B4" s="488" t="s">
        <v>698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530</v>
      </c>
      <c r="Q4" s="460" t="s">
        <v>539</v>
      </c>
      <c r="R4" s="393" t="s">
        <v>531</v>
      </c>
      <c r="S4" s="460" t="s">
        <v>540</v>
      </c>
      <c r="T4" s="393" t="s">
        <v>532</v>
      </c>
      <c r="U4" s="460" t="s">
        <v>541</v>
      </c>
      <c r="V4" s="393" t="s">
        <v>533</v>
      </c>
      <c r="W4" s="460" t="s">
        <v>542</v>
      </c>
      <c r="X4" s="10"/>
      <c r="Y4" s="393" t="s">
        <v>543</v>
      </c>
      <c r="Z4" s="10" t="s">
        <v>309</v>
      </c>
      <c r="AA4" s="396" t="s">
        <v>7</v>
      </c>
      <c r="AC4" s="9" t="s">
        <v>315</v>
      </c>
      <c r="AD4" s="10" t="s">
        <v>316</v>
      </c>
      <c r="AE4" s="10" t="s">
        <v>309</v>
      </c>
      <c r="AF4" s="396" t="s">
        <v>7</v>
      </c>
      <c r="AG4"/>
      <c r="AH4"/>
    </row>
    <row r="5" spans="1:34">
      <c r="A5" s="483" t="s">
        <v>618</v>
      </c>
      <c r="B5" s="11" t="s">
        <v>410</v>
      </c>
      <c r="C5" s="64"/>
      <c r="D5" s="13">
        <v>12.19</v>
      </c>
      <c r="E5" s="14"/>
      <c r="F5" s="14"/>
      <c r="G5" s="14"/>
      <c r="H5" s="14"/>
      <c r="I5" s="14">
        <f>H5-F5</f>
        <v>0</v>
      </c>
      <c r="J5" s="14">
        <v>10.102</v>
      </c>
      <c r="K5" s="25">
        <f t="shared" ref="K5:K14" si="0">J5-H5</f>
        <v>10.102</v>
      </c>
      <c r="L5" s="14">
        <v>10.102</v>
      </c>
      <c r="M5" s="34">
        <f t="shared" ref="M5:M14" si="1">L5-J5</f>
        <v>0</v>
      </c>
      <c r="N5" s="14">
        <v>10.102</v>
      </c>
      <c r="O5" s="34">
        <f t="shared" ref="O5:O14" si="2">N5-L5</f>
        <v>0</v>
      </c>
      <c r="P5" s="14">
        <v>10.102</v>
      </c>
      <c r="Q5" s="14"/>
      <c r="R5" s="14">
        <v>10.102</v>
      </c>
      <c r="S5" s="34">
        <f t="shared" ref="S5:S14" si="3">R5-P5</f>
        <v>0</v>
      </c>
      <c r="T5" s="14"/>
      <c r="U5" s="14"/>
      <c r="V5" s="14"/>
      <c r="W5" s="14"/>
      <c r="X5" s="14"/>
      <c r="Y5" s="25">
        <f t="shared" ref="Y5:Y14" si="4">E5+G5+I5+K5+M5+O5+Q5+S5+U5+W5</f>
        <v>10.102</v>
      </c>
      <c r="Z5" s="26"/>
      <c r="AA5" s="26">
        <f t="shared" ref="AA5:AA15" si="5">(Y5/D5)*100</f>
        <v>82.871205906480725</v>
      </c>
      <c r="AC5" s="13">
        <v>8</v>
      </c>
      <c r="AD5" s="14"/>
      <c r="AE5" s="26"/>
      <c r="AF5" s="26">
        <f>(AD5/AC5)*100</f>
        <v>0</v>
      </c>
      <c r="AG5"/>
      <c r="AH5"/>
    </row>
    <row r="6" spans="1:34">
      <c r="B6" s="11" t="s">
        <v>492</v>
      </c>
      <c r="C6" s="64"/>
      <c r="D6" s="13"/>
      <c r="E6" s="14"/>
      <c r="F6" s="14"/>
      <c r="G6" s="14"/>
      <c r="H6" s="14"/>
      <c r="I6" s="14">
        <f t="shared" ref="I6:I14" si="6">H6-F6</f>
        <v>0</v>
      </c>
      <c r="J6" s="14"/>
      <c r="K6" s="25">
        <f t="shared" si="0"/>
        <v>0</v>
      </c>
      <c r="L6" s="14"/>
      <c r="M6" s="34">
        <f t="shared" si="1"/>
        <v>0</v>
      </c>
      <c r="N6" s="14"/>
      <c r="O6" s="34">
        <f t="shared" si="2"/>
        <v>0</v>
      </c>
      <c r="Q6" s="14"/>
      <c r="S6" s="34">
        <f t="shared" si="3"/>
        <v>0</v>
      </c>
      <c r="T6" s="14"/>
      <c r="U6" s="14"/>
      <c r="V6" s="14"/>
      <c r="W6" s="14"/>
      <c r="X6" s="14"/>
      <c r="Y6" s="25">
        <f t="shared" si="4"/>
        <v>0</v>
      </c>
      <c r="Z6" s="26"/>
      <c r="AA6" s="26"/>
      <c r="AC6" s="13">
        <v>4</v>
      </c>
      <c r="AD6" s="14"/>
      <c r="AE6" s="15"/>
      <c r="AF6" s="26">
        <f t="shared" ref="AF6:AF14" si="7">(AD6/AC6)*100</f>
        <v>0</v>
      </c>
      <c r="AG6"/>
      <c r="AH6"/>
    </row>
    <row r="7" spans="1:34">
      <c r="B7" s="11" t="s">
        <v>325</v>
      </c>
      <c r="C7" s="64"/>
      <c r="D7" s="13">
        <v>38.86</v>
      </c>
      <c r="E7" s="14"/>
      <c r="F7" s="14"/>
      <c r="G7" s="14"/>
      <c r="H7" s="14"/>
      <c r="I7" s="14">
        <f t="shared" si="6"/>
        <v>0</v>
      </c>
      <c r="J7" s="14">
        <v>38.857999999999997</v>
      </c>
      <c r="K7" s="25">
        <f t="shared" si="0"/>
        <v>38.857999999999997</v>
      </c>
      <c r="L7" s="14">
        <v>38.857999999999997</v>
      </c>
      <c r="M7" s="34">
        <f t="shared" si="1"/>
        <v>0</v>
      </c>
      <c r="N7" s="14">
        <v>38.857999999999997</v>
      </c>
      <c r="O7" s="34">
        <f t="shared" si="2"/>
        <v>0</v>
      </c>
      <c r="P7" s="14">
        <v>38.857999999999997</v>
      </c>
      <c r="Q7" s="14"/>
      <c r="R7" s="14">
        <v>38.857999999999997</v>
      </c>
      <c r="S7" s="34">
        <f t="shared" si="3"/>
        <v>0</v>
      </c>
      <c r="T7" s="14"/>
      <c r="U7" s="14"/>
      <c r="V7" s="14"/>
      <c r="W7" s="14"/>
      <c r="X7" s="14"/>
      <c r="Y7" s="25">
        <f t="shared" si="4"/>
        <v>38.857999999999997</v>
      </c>
      <c r="Z7" s="26"/>
      <c r="AA7" s="26">
        <f t="shared" si="5"/>
        <v>99.99485331960885</v>
      </c>
      <c r="AC7" s="13">
        <v>40</v>
      </c>
      <c r="AD7" s="14"/>
      <c r="AE7" s="15"/>
      <c r="AF7" s="26">
        <f t="shared" si="7"/>
        <v>0</v>
      </c>
      <c r="AG7"/>
      <c r="AH7"/>
    </row>
    <row r="8" spans="1:34">
      <c r="B8" s="11" t="s">
        <v>479</v>
      </c>
      <c r="C8" s="64"/>
      <c r="D8" s="13">
        <v>2.84</v>
      </c>
      <c r="E8" s="14"/>
      <c r="F8" s="14"/>
      <c r="G8" s="14"/>
      <c r="H8" s="14"/>
      <c r="I8" s="14">
        <f t="shared" si="6"/>
        <v>0</v>
      </c>
      <c r="J8" s="14">
        <v>2.8359999999999999</v>
      </c>
      <c r="K8" s="25">
        <f t="shared" si="0"/>
        <v>2.8359999999999999</v>
      </c>
      <c r="L8" s="14">
        <v>2.8359999999999999</v>
      </c>
      <c r="M8" s="34">
        <f t="shared" si="1"/>
        <v>0</v>
      </c>
      <c r="N8" s="14">
        <v>2.8359999999999999</v>
      </c>
      <c r="O8" s="34">
        <f t="shared" si="2"/>
        <v>0</v>
      </c>
      <c r="P8" s="14">
        <v>2.8359999999999999</v>
      </c>
      <c r="Q8" s="14"/>
      <c r="R8" s="14">
        <v>2.8359999999999999</v>
      </c>
      <c r="S8" s="34">
        <f t="shared" si="3"/>
        <v>0</v>
      </c>
      <c r="T8" s="14"/>
      <c r="U8" s="14"/>
      <c r="V8" s="14"/>
      <c r="W8" s="14"/>
      <c r="X8" s="14"/>
      <c r="Y8" s="25">
        <f t="shared" si="4"/>
        <v>2.8359999999999999</v>
      </c>
      <c r="Z8" s="26"/>
      <c r="AA8" s="26">
        <f t="shared" si="5"/>
        <v>99.859154929577471</v>
      </c>
      <c r="AC8" s="13">
        <v>3</v>
      </c>
      <c r="AD8" s="14"/>
      <c r="AE8" s="15"/>
      <c r="AF8" s="26">
        <f t="shared" si="7"/>
        <v>0</v>
      </c>
      <c r="AG8"/>
      <c r="AH8"/>
    </row>
    <row r="9" spans="1:34">
      <c r="B9" s="11" t="s">
        <v>327</v>
      </c>
      <c r="C9" s="64"/>
      <c r="D9" s="13">
        <v>1.02</v>
      </c>
      <c r="E9" s="14"/>
      <c r="F9" s="14"/>
      <c r="G9" s="14"/>
      <c r="H9" s="14"/>
      <c r="I9" s="14">
        <f t="shared" si="6"/>
        <v>0</v>
      </c>
      <c r="J9" s="14">
        <v>1.0189999999999999</v>
      </c>
      <c r="K9" s="25">
        <f t="shared" si="0"/>
        <v>1.0189999999999999</v>
      </c>
      <c r="L9" s="14">
        <v>1.0189999999999999</v>
      </c>
      <c r="M9" s="34">
        <f t="shared" si="1"/>
        <v>0</v>
      </c>
      <c r="N9" s="14">
        <v>1.0189999999999999</v>
      </c>
      <c r="O9" s="34">
        <f t="shared" si="2"/>
        <v>0</v>
      </c>
      <c r="P9" s="14">
        <v>1.0189999999999999</v>
      </c>
      <c r="Q9" s="14"/>
      <c r="R9" s="14">
        <v>1.0189999999999999</v>
      </c>
      <c r="S9" s="34">
        <f t="shared" si="3"/>
        <v>0</v>
      </c>
      <c r="T9" s="14"/>
      <c r="U9" s="14"/>
      <c r="V9" s="14"/>
      <c r="W9" s="14"/>
      <c r="X9" s="14"/>
      <c r="Y9" s="25">
        <f t="shared" si="4"/>
        <v>1.0189999999999999</v>
      </c>
      <c r="Z9" s="26"/>
      <c r="AA9" s="26">
        <f t="shared" si="5"/>
        <v>99.901960784313715</v>
      </c>
      <c r="AC9" s="13">
        <v>2</v>
      </c>
      <c r="AD9" s="14"/>
      <c r="AE9" s="15"/>
      <c r="AF9" s="26">
        <f t="shared" si="7"/>
        <v>0</v>
      </c>
      <c r="AG9"/>
      <c r="AH9"/>
    </row>
    <row r="10" spans="1:34">
      <c r="B10" s="11" t="s">
        <v>331</v>
      </c>
      <c r="C10" s="64"/>
      <c r="D10" s="13">
        <v>1.76</v>
      </c>
      <c r="E10" s="14"/>
      <c r="F10" s="14"/>
      <c r="G10" s="14"/>
      <c r="H10" s="14">
        <v>1.7230000000000001</v>
      </c>
      <c r="I10" s="14">
        <f t="shared" si="6"/>
        <v>1.7230000000000001</v>
      </c>
      <c r="J10" s="14">
        <v>1.756</v>
      </c>
      <c r="K10" s="25">
        <f t="shared" si="0"/>
        <v>3.2999999999999918E-2</v>
      </c>
      <c r="L10" s="14">
        <v>1.756</v>
      </c>
      <c r="M10" s="34">
        <f t="shared" si="1"/>
        <v>0</v>
      </c>
      <c r="N10" s="14">
        <v>1.756</v>
      </c>
      <c r="O10" s="34">
        <f t="shared" si="2"/>
        <v>0</v>
      </c>
      <c r="P10" s="14">
        <v>1.756</v>
      </c>
      <c r="Q10" s="14"/>
      <c r="R10" s="14">
        <v>1.756</v>
      </c>
      <c r="S10" s="34">
        <f t="shared" si="3"/>
        <v>0</v>
      </c>
      <c r="T10" s="14"/>
      <c r="U10" s="14"/>
      <c r="V10" s="14"/>
      <c r="W10" s="14"/>
      <c r="X10" s="14"/>
      <c r="Y10" s="25">
        <f t="shared" si="4"/>
        <v>1.756</v>
      </c>
      <c r="Z10" s="26"/>
      <c r="AA10" s="26">
        <f t="shared" si="5"/>
        <v>99.772727272727266</v>
      </c>
      <c r="AC10" s="13">
        <v>1</v>
      </c>
      <c r="AD10" s="14">
        <v>4.1000000000000002E-2</v>
      </c>
      <c r="AE10" s="15"/>
      <c r="AF10" s="26">
        <f t="shared" si="7"/>
        <v>4.1000000000000005</v>
      </c>
      <c r="AG10"/>
      <c r="AH10"/>
    </row>
    <row r="11" spans="1:34">
      <c r="B11" s="11" t="s">
        <v>332</v>
      </c>
      <c r="C11" s="64"/>
      <c r="D11" s="13">
        <v>2.72</v>
      </c>
      <c r="E11" s="14"/>
      <c r="F11" s="14"/>
      <c r="G11" s="14"/>
      <c r="H11" s="14"/>
      <c r="I11" s="14">
        <f t="shared" si="6"/>
        <v>0</v>
      </c>
      <c r="J11" s="14">
        <v>2.7166899999999998</v>
      </c>
      <c r="K11" s="25">
        <f t="shared" si="0"/>
        <v>2.7166899999999998</v>
      </c>
      <c r="L11" s="14">
        <v>2.7166899999999998</v>
      </c>
      <c r="M11" s="34">
        <f t="shared" si="1"/>
        <v>0</v>
      </c>
      <c r="N11" s="14">
        <v>2.7166899999999998</v>
      </c>
      <c r="O11" s="34">
        <f t="shared" si="2"/>
        <v>0</v>
      </c>
      <c r="P11" s="14">
        <v>2.7166899999999998</v>
      </c>
      <c r="Q11" s="14"/>
      <c r="R11" s="14">
        <v>2.7166899999999998</v>
      </c>
      <c r="S11" s="34">
        <f t="shared" si="3"/>
        <v>0</v>
      </c>
      <c r="T11" s="14"/>
      <c r="U11" s="14"/>
      <c r="V11" s="14"/>
      <c r="W11" s="14"/>
      <c r="X11" s="14"/>
      <c r="Y11" s="25">
        <f t="shared" si="4"/>
        <v>2.7166899999999998</v>
      </c>
      <c r="Z11" s="26"/>
      <c r="AA11" s="26">
        <f t="shared" si="5"/>
        <v>99.878308823529395</v>
      </c>
      <c r="AC11" s="13">
        <v>6</v>
      </c>
      <c r="AD11" s="14"/>
      <c r="AE11" s="15"/>
      <c r="AF11" s="26">
        <f t="shared" si="7"/>
        <v>0</v>
      </c>
      <c r="AG11"/>
      <c r="AH11"/>
    </row>
    <row r="12" spans="1:34">
      <c r="B12" s="11" t="s">
        <v>412</v>
      </c>
      <c r="C12" s="64"/>
      <c r="D12" s="13">
        <v>0.22</v>
      </c>
      <c r="E12" s="14"/>
      <c r="F12" s="14"/>
      <c r="G12" s="14"/>
      <c r="H12" s="14"/>
      <c r="I12" s="14">
        <f t="shared" si="6"/>
        <v>0</v>
      </c>
      <c r="J12" s="14">
        <v>0.22</v>
      </c>
      <c r="K12" s="25">
        <f t="shared" si="0"/>
        <v>0.22</v>
      </c>
      <c r="L12" s="14">
        <v>0.22</v>
      </c>
      <c r="M12" s="34">
        <f t="shared" si="1"/>
        <v>0</v>
      </c>
      <c r="N12" s="14">
        <v>0.22</v>
      </c>
      <c r="O12" s="34">
        <f t="shared" si="2"/>
        <v>0</v>
      </c>
      <c r="P12" s="14">
        <v>0.22</v>
      </c>
      <c r="Q12" s="14"/>
      <c r="R12" s="14">
        <v>0.22</v>
      </c>
      <c r="S12" s="34">
        <f t="shared" si="3"/>
        <v>0</v>
      </c>
      <c r="T12" s="14"/>
      <c r="U12" s="14"/>
      <c r="V12" s="14"/>
      <c r="W12" s="14"/>
      <c r="X12" s="14"/>
      <c r="Y12" s="25">
        <f t="shared" si="4"/>
        <v>0.22</v>
      </c>
      <c r="Z12" s="26"/>
      <c r="AA12" s="26">
        <f t="shared" si="5"/>
        <v>100</v>
      </c>
      <c r="AC12" s="13">
        <v>1</v>
      </c>
      <c r="AD12" s="14">
        <v>0.27300000000000002</v>
      </c>
      <c r="AE12" s="15"/>
      <c r="AF12" s="26">
        <f t="shared" si="7"/>
        <v>27.3</v>
      </c>
      <c r="AG12"/>
      <c r="AH12"/>
    </row>
    <row r="13" spans="1:34">
      <c r="B13" s="75" t="s">
        <v>425</v>
      </c>
      <c r="C13" s="64"/>
      <c r="D13" s="13">
        <v>4.84</v>
      </c>
      <c r="E13" s="14"/>
      <c r="F13" s="14"/>
      <c r="G13" s="14"/>
      <c r="H13" s="14"/>
      <c r="I13" s="14">
        <f t="shared" si="6"/>
        <v>0</v>
      </c>
      <c r="J13" s="14">
        <v>4.84</v>
      </c>
      <c r="K13" s="25">
        <f t="shared" si="0"/>
        <v>4.84</v>
      </c>
      <c r="L13" s="14">
        <v>4.84</v>
      </c>
      <c r="M13" s="34">
        <f t="shared" si="1"/>
        <v>0</v>
      </c>
      <c r="N13" s="14">
        <v>4.84</v>
      </c>
      <c r="O13" s="34">
        <f t="shared" si="2"/>
        <v>0</v>
      </c>
      <c r="P13" s="14">
        <v>4.84</v>
      </c>
      <c r="Q13" s="14"/>
      <c r="R13" s="14">
        <v>4.84</v>
      </c>
      <c r="S13" s="34">
        <f t="shared" si="3"/>
        <v>0</v>
      </c>
      <c r="T13" s="14"/>
      <c r="U13" s="14"/>
      <c r="V13" s="14"/>
      <c r="W13" s="14"/>
      <c r="X13" s="14"/>
      <c r="Y13" s="25">
        <f t="shared" si="4"/>
        <v>4.84</v>
      </c>
      <c r="Z13" s="26"/>
      <c r="AA13" s="26">
        <f t="shared" si="5"/>
        <v>100</v>
      </c>
      <c r="AC13" s="13">
        <v>5</v>
      </c>
      <c r="AD13" s="14"/>
      <c r="AE13" s="15"/>
      <c r="AF13" s="26">
        <f t="shared" si="7"/>
        <v>0</v>
      </c>
      <c r="AG13"/>
      <c r="AH13"/>
    </row>
    <row r="14" spans="1:34">
      <c r="B14" s="11" t="s">
        <v>426</v>
      </c>
      <c r="C14" s="64"/>
      <c r="D14" s="13">
        <v>2.5499999999999998</v>
      </c>
      <c r="E14" s="14"/>
      <c r="F14" s="14"/>
      <c r="G14" s="14"/>
      <c r="H14" s="14"/>
      <c r="I14" s="14">
        <f t="shared" si="6"/>
        <v>0</v>
      </c>
      <c r="J14" s="14">
        <v>2.5459999999999998</v>
      </c>
      <c r="K14" s="25">
        <f t="shared" si="0"/>
        <v>2.5459999999999998</v>
      </c>
      <c r="L14" s="14">
        <v>2.5459999999999998</v>
      </c>
      <c r="M14" s="34">
        <f t="shared" si="1"/>
        <v>0</v>
      </c>
      <c r="N14" s="14">
        <v>2.5459999999999998</v>
      </c>
      <c r="O14" s="34">
        <f t="shared" si="2"/>
        <v>0</v>
      </c>
      <c r="P14" s="14">
        <v>2.5459999999999998</v>
      </c>
      <c r="Q14" s="14"/>
      <c r="R14" s="14">
        <v>2.5459999999999998</v>
      </c>
      <c r="S14" s="34">
        <f t="shared" si="3"/>
        <v>0</v>
      </c>
      <c r="T14" s="14"/>
      <c r="U14" s="14"/>
      <c r="V14" s="14"/>
      <c r="W14" s="14"/>
      <c r="X14" s="14"/>
      <c r="Y14" s="25">
        <f t="shared" si="4"/>
        <v>2.5459999999999998</v>
      </c>
      <c r="Z14" s="26"/>
      <c r="AA14" s="26">
        <f t="shared" si="5"/>
        <v>99.843137254901961</v>
      </c>
      <c r="AC14" s="13">
        <v>4</v>
      </c>
      <c r="AD14" s="14">
        <v>3.036</v>
      </c>
      <c r="AE14" s="15"/>
      <c r="AF14" s="26">
        <f t="shared" si="7"/>
        <v>75.900000000000006</v>
      </c>
      <c r="AG14"/>
      <c r="AH14"/>
    </row>
    <row r="15" spans="1:34">
      <c r="B15" s="18" t="s">
        <v>10</v>
      </c>
      <c r="C15" s="19">
        <f>SUM(C5:C14)</f>
        <v>0</v>
      </c>
      <c r="D15" s="19">
        <f>SUM(D5:D14)</f>
        <v>67</v>
      </c>
      <c r="E15" s="20">
        <f t="shared" ref="E15:W15" si="8">SUM(E5:E14)</f>
        <v>0</v>
      </c>
      <c r="F15" s="20">
        <f t="shared" si="8"/>
        <v>0</v>
      </c>
      <c r="G15" s="20">
        <f t="shared" si="8"/>
        <v>0</v>
      </c>
      <c r="H15" s="20">
        <f t="shared" si="8"/>
        <v>1.7230000000000001</v>
      </c>
      <c r="I15" s="20">
        <f t="shared" si="8"/>
        <v>1.7230000000000001</v>
      </c>
      <c r="J15" s="20">
        <f t="shared" si="8"/>
        <v>64.893689999999992</v>
      </c>
      <c r="K15" s="20">
        <f t="shared" si="8"/>
        <v>63.170689999999986</v>
      </c>
      <c r="L15" s="20">
        <f t="shared" si="8"/>
        <v>64.893689999999992</v>
      </c>
      <c r="M15" s="20">
        <f t="shared" si="8"/>
        <v>0</v>
      </c>
      <c r="N15" s="20">
        <f t="shared" si="8"/>
        <v>64.893689999999992</v>
      </c>
      <c r="O15" s="20">
        <f t="shared" si="8"/>
        <v>0</v>
      </c>
      <c r="P15" s="20">
        <f t="shared" si="8"/>
        <v>64.893689999999992</v>
      </c>
      <c r="Q15" s="20">
        <f t="shared" si="8"/>
        <v>0</v>
      </c>
      <c r="R15" s="20">
        <f t="shared" si="8"/>
        <v>64.893689999999992</v>
      </c>
      <c r="S15" s="20">
        <f t="shared" si="8"/>
        <v>0</v>
      </c>
      <c r="T15" s="20">
        <f t="shared" si="8"/>
        <v>0</v>
      </c>
      <c r="U15" s="20">
        <f t="shared" si="8"/>
        <v>0</v>
      </c>
      <c r="V15" s="20">
        <f t="shared" si="8"/>
        <v>0</v>
      </c>
      <c r="W15" s="20">
        <f t="shared" si="8"/>
        <v>0</v>
      </c>
      <c r="X15" s="20"/>
      <c r="Y15" s="20">
        <f>SUM(Y5:Y14)</f>
        <v>64.893689999999992</v>
      </c>
      <c r="Z15" s="18"/>
      <c r="AA15" s="18">
        <f t="shared" si="5"/>
        <v>96.856253731343273</v>
      </c>
      <c r="AC15" s="19">
        <f>SUM(AC5:AC14)</f>
        <v>74</v>
      </c>
      <c r="AD15" s="20">
        <f>SUM(AD5:AD14)</f>
        <v>3.35</v>
      </c>
      <c r="AE15" s="18"/>
      <c r="AF15" s="18">
        <f>(AD15/AC15)*100</f>
        <v>4.5270270270270272</v>
      </c>
      <c r="AG15"/>
      <c r="AH15"/>
    </row>
    <row r="16" spans="1:34" ht="17.25" customHeight="1">
      <c r="B16" s="4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95"/>
      <c r="AC16" s="5"/>
      <c r="AD16" s="6"/>
      <c r="AE16" s="6"/>
      <c r="AF16" s="395"/>
      <c r="AG16"/>
      <c r="AH16"/>
    </row>
    <row r="17" spans="2:32" customFormat="1" ht="17.25" customHeight="1">
      <c r="B17" s="4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95"/>
      <c r="AC17" s="5"/>
      <c r="AD17" s="6"/>
      <c r="AE17" s="6"/>
      <c r="AF17" s="395"/>
    </row>
  </sheetData>
  <conditionalFormatting sqref="Z5:AA15">
    <cfRule type="cellIs" dxfId="5" priority="3" operator="greaterThan">
      <formula>100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6"/>
  <sheetViews>
    <sheetView zoomScaleNormal="100" workbookViewId="0"/>
  </sheetViews>
  <sheetFormatPr defaultRowHeight="12.75"/>
  <cols>
    <col min="1" max="1" width="74.28515625" style="578" customWidth="1"/>
    <col min="2" max="2" width="37" style="143" customWidth="1"/>
    <col min="3" max="233" width="9.140625" style="143"/>
    <col min="234" max="234" width="9.140625" style="143" customWidth="1"/>
    <col min="235" max="235" width="34.42578125" style="143" customWidth="1"/>
    <col min="236" max="244" width="9.140625" style="143" customWidth="1"/>
    <col min="245" max="245" width="12.5703125" style="143" customWidth="1"/>
    <col min="246" max="246" width="13.85546875" style="143" customWidth="1"/>
    <col min="247" max="247" width="13.7109375" style="143" customWidth="1"/>
    <col min="248" max="248" width="12" style="143" customWidth="1"/>
    <col min="249" max="489" width="9.140625" style="143"/>
    <col min="490" max="490" width="9.140625" style="143" customWidth="1"/>
    <col min="491" max="491" width="34.42578125" style="143" customWidth="1"/>
    <col min="492" max="500" width="9.140625" style="143" customWidth="1"/>
    <col min="501" max="501" width="12.5703125" style="143" customWidth="1"/>
    <col min="502" max="502" width="13.85546875" style="143" customWidth="1"/>
    <col min="503" max="503" width="13.7109375" style="143" customWidth="1"/>
    <col min="504" max="504" width="12" style="143" customWidth="1"/>
    <col min="505" max="745" width="9.140625" style="143"/>
    <col min="746" max="746" width="9.140625" style="143" customWidth="1"/>
    <col min="747" max="747" width="34.42578125" style="143" customWidth="1"/>
    <col min="748" max="756" width="9.140625" style="143" customWidth="1"/>
    <col min="757" max="757" width="12.5703125" style="143" customWidth="1"/>
    <col min="758" max="758" width="13.85546875" style="143" customWidth="1"/>
    <col min="759" max="759" width="13.7109375" style="143" customWidth="1"/>
    <col min="760" max="760" width="12" style="143" customWidth="1"/>
    <col min="761" max="1001" width="9.140625" style="143"/>
    <col min="1002" max="1002" width="9.140625" style="143" customWidth="1"/>
    <col min="1003" max="1003" width="34.42578125" style="143" customWidth="1"/>
    <col min="1004" max="1012" width="9.140625" style="143" customWidth="1"/>
    <col min="1013" max="1013" width="12.5703125" style="143" customWidth="1"/>
    <col min="1014" max="1014" width="13.85546875" style="143" customWidth="1"/>
    <col min="1015" max="1015" width="13.7109375" style="143" customWidth="1"/>
    <col min="1016" max="1016" width="12" style="143" customWidth="1"/>
    <col min="1017" max="1257" width="9.140625" style="143"/>
    <col min="1258" max="1258" width="9.140625" style="143" customWidth="1"/>
    <col min="1259" max="1259" width="34.42578125" style="143" customWidth="1"/>
    <col min="1260" max="1268" width="9.140625" style="143" customWidth="1"/>
    <col min="1269" max="1269" width="12.5703125" style="143" customWidth="1"/>
    <col min="1270" max="1270" width="13.85546875" style="143" customWidth="1"/>
    <col min="1271" max="1271" width="13.7109375" style="143" customWidth="1"/>
    <col min="1272" max="1272" width="12" style="143" customWidth="1"/>
    <col min="1273" max="1513" width="9.140625" style="143"/>
    <col min="1514" max="1514" width="9.140625" style="143" customWidth="1"/>
    <col min="1515" max="1515" width="34.42578125" style="143" customWidth="1"/>
    <col min="1516" max="1524" width="9.140625" style="143" customWidth="1"/>
    <col min="1525" max="1525" width="12.5703125" style="143" customWidth="1"/>
    <col min="1526" max="1526" width="13.85546875" style="143" customWidth="1"/>
    <col min="1527" max="1527" width="13.7109375" style="143" customWidth="1"/>
    <col min="1528" max="1528" width="12" style="143" customWidth="1"/>
    <col min="1529" max="1769" width="9.140625" style="143"/>
    <col min="1770" max="1770" width="9.140625" style="143" customWidth="1"/>
    <col min="1771" max="1771" width="34.42578125" style="143" customWidth="1"/>
    <col min="1772" max="1780" width="9.140625" style="143" customWidth="1"/>
    <col min="1781" max="1781" width="12.5703125" style="143" customWidth="1"/>
    <col min="1782" max="1782" width="13.85546875" style="143" customWidth="1"/>
    <col min="1783" max="1783" width="13.7109375" style="143" customWidth="1"/>
    <col min="1784" max="1784" width="12" style="143" customWidth="1"/>
    <col min="1785" max="2025" width="9.140625" style="143"/>
    <col min="2026" max="2026" width="9.140625" style="143" customWidth="1"/>
    <col min="2027" max="2027" width="34.42578125" style="143" customWidth="1"/>
    <col min="2028" max="2036" width="9.140625" style="143" customWidth="1"/>
    <col min="2037" max="2037" width="12.5703125" style="143" customWidth="1"/>
    <col min="2038" max="2038" width="13.85546875" style="143" customWidth="1"/>
    <col min="2039" max="2039" width="13.7109375" style="143" customWidth="1"/>
    <col min="2040" max="2040" width="12" style="143" customWidth="1"/>
    <col min="2041" max="2281" width="9.140625" style="143"/>
    <col min="2282" max="2282" width="9.140625" style="143" customWidth="1"/>
    <col min="2283" max="2283" width="34.42578125" style="143" customWidth="1"/>
    <col min="2284" max="2292" width="9.140625" style="143" customWidth="1"/>
    <col min="2293" max="2293" width="12.5703125" style="143" customWidth="1"/>
    <col min="2294" max="2294" width="13.85546875" style="143" customWidth="1"/>
    <col min="2295" max="2295" width="13.7109375" style="143" customWidth="1"/>
    <col min="2296" max="2296" width="12" style="143" customWidth="1"/>
    <col min="2297" max="2537" width="9.140625" style="143"/>
    <col min="2538" max="2538" width="9.140625" style="143" customWidth="1"/>
    <col min="2539" max="2539" width="34.42578125" style="143" customWidth="1"/>
    <col min="2540" max="2548" width="9.140625" style="143" customWidth="1"/>
    <col min="2549" max="2549" width="12.5703125" style="143" customWidth="1"/>
    <col min="2550" max="2550" width="13.85546875" style="143" customWidth="1"/>
    <col min="2551" max="2551" width="13.7109375" style="143" customWidth="1"/>
    <col min="2552" max="2552" width="12" style="143" customWidth="1"/>
    <col min="2553" max="2793" width="9.140625" style="143"/>
    <col min="2794" max="2794" width="9.140625" style="143" customWidth="1"/>
    <col min="2795" max="2795" width="34.42578125" style="143" customWidth="1"/>
    <col min="2796" max="2804" width="9.140625" style="143" customWidth="1"/>
    <col min="2805" max="2805" width="12.5703125" style="143" customWidth="1"/>
    <col min="2806" max="2806" width="13.85546875" style="143" customWidth="1"/>
    <col min="2807" max="2807" width="13.7109375" style="143" customWidth="1"/>
    <col min="2808" max="2808" width="12" style="143" customWidth="1"/>
    <col min="2809" max="3049" width="9.140625" style="143"/>
    <col min="3050" max="3050" width="9.140625" style="143" customWidth="1"/>
    <col min="3051" max="3051" width="34.42578125" style="143" customWidth="1"/>
    <col min="3052" max="3060" width="9.140625" style="143" customWidth="1"/>
    <col min="3061" max="3061" width="12.5703125" style="143" customWidth="1"/>
    <col min="3062" max="3062" width="13.85546875" style="143" customWidth="1"/>
    <col min="3063" max="3063" width="13.7109375" style="143" customWidth="1"/>
    <col min="3064" max="3064" width="12" style="143" customWidth="1"/>
    <col min="3065" max="3305" width="9.140625" style="143"/>
    <col min="3306" max="3306" width="9.140625" style="143" customWidth="1"/>
    <col min="3307" max="3307" width="34.42578125" style="143" customWidth="1"/>
    <col min="3308" max="3316" width="9.140625" style="143" customWidth="1"/>
    <col min="3317" max="3317" width="12.5703125" style="143" customWidth="1"/>
    <col min="3318" max="3318" width="13.85546875" style="143" customWidth="1"/>
    <col min="3319" max="3319" width="13.7109375" style="143" customWidth="1"/>
    <col min="3320" max="3320" width="12" style="143" customWidth="1"/>
    <col min="3321" max="3561" width="9.140625" style="143"/>
    <col min="3562" max="3562" width="9.140625" style="143" customWidth="1"/>
    <col min="3563" max="3563" width="34.42578125" style="143" customWidth="1"/>
    <col min="3564" max="3572" width="9.140625" style="143" customWidth="1"/>
    <col min="3573" max="3573" width="12.5703125" style="143" customWidth="1"/>
    <col min="3574" max="3574" width="13.85546875" style="143" customWidth="1"/>
    <col min="3575" max="3575" width="13.7109375" style="143" customWidth="1"/>
    <col min="3576" max="3576" width="12" style="143" customWidth="1"/>
    <col min="3577" max="3817" width="9.140625" style="143"/>
    <col min="3818" max="3818" width="9.140625" style="143" customWidth="1"/>
    <col min="3819" max="3819" width="34.42578125" style="143" customWidth="1"/>
    <col min="3820" max="3828" width="9.140625" style="143" customWidth="1"/>
    <col min="3829" max="3829" width="12.5703125" style="143" customWidth="1"/>
    <col min="3830" max="3830" width="13.85546875" style="143" customWidth="1"/>
    <col min="3831" max="3831" width="13.7109375" style="143" customWidth="1"/>
    <col min="3832" max="3832" width="12" style="143" customWidth="1"/>
    <col min="3833" max="4073" width="9.140625" style="143"/>
    <col min="4074" max="4074" width="9.140625" style="143" customWidth="1"/>
    <col min="4075" max="4075" width="34.42578125" style="143" customWidth="1"/>
    <col min="4076" max="4084" width="9.140625" style="143" customWidth="1"/>
    <col min="4085" max="4085" width="12.5703125" style="143" customWidth="1"/>
    <col min="4086" max="4086" width="13.85546875" style="143" customWidth="1"/>
    <col min="4087" max="4087" width="13.7109375" style="143" customWidth="1"/>
    <col min="4088" max="4088" width="12" style="143" customWidth="1"/>
    <col min="4089" max="4329" width="9.140625" style="143"/>
    <col min="4330" max="4330" width="9.140625" style="143" customWidth="1"/>
    <col min="4331" max="4331" width="34.42578125" style="143" customWidth="1"/>
    <col min="4332" max="4340" width="9.140625" style="143" customWidth="1"/>
    <col min="4341" max="4341" width="12.5703125" style="143" customWidth="1"/>
    <col min="4342" max="4342" width="13.85546875" style="143" customWidth="1"/>
    <col min="4343" max="4343" width="13.7109375" style="143" customWidth="1"/>
    <col min="4344" max="4344" width="12" style="143" customWidth="1"/>
    <col min="4345" max="4585" width="9.140625" style="143"/>
    <col min="4586" max="4586" width="9.140625" style="143" customWidth="1"/>
    <col min="4587" max="4587" width="34.42578125" style="143" customWidth="1"/>
    <col min="4588" max="4596" width="9.140625" style="143" customWidth="1"/>
    <col min="4597" max="4597" width="12.5703125" style="143" customWidth="1"/>
    <col min="4598" max="4598" width="13.85546875" style="143" customWidth="1"/>
    <col min="4599" max="4599" width="13.7109375" style="143" customWidth="1"/>
    <col min="4600" max="4600" width="12" style="143" customWidth="1"/>
    <col min="4601" max="4841" width="9.140625" style="143"/>
    <col min="4842" max="4842" width="9.140625" style="143" customWidth="1"/>
    <col min="4843" max="4843" width="34.42578125" style="143" customWidth="1"/>
    <col min="4844" max="4852" width="9.140625" style="143" customWidth="1"/>
    <col min="4853" max="4853" width="12.5703125" style="143" customWidth="1"/>
    <col min="4854" max="4854" width="13.85546875" style="143" customWidth="1"/>
    <col min="4855" max="4855" width="13.7109375" style="143" customWidth="1"/>
    <col min="4856" max="4856" width="12" style="143" customWidth="1"/>
    <col min="4857" max="5097" width="9.140625" style="143"/>
    <col min="5098" max="5098" width="9.140625" style="143" customWidth="1"/>
    <col min="5099" max="5099" width="34.42578125" style="143" customWidth="1"/>
    <col min="5100" max="5108" width="9.140625" style="143" customWidth="1"/>
    <col min="5109" max="5109" width="12.5703125" style="143" customWidth="1"/>
    <col min="5110" max="5110" width="13.85546875" style="143" customWidth="1"/>
    <col min="5111" max="5111" width="13.7109375" style="143" customWidth="1"/>
    <col min="5112" max="5112" width="12" style="143" customWidth="1"/>
    <col min="5113" max="5353" width="9.140625" style="143"/>
    <col min="5354" max="5354" width="9.140625" style="143" customWidth="1"/>
    <col min="5355" max="5355" width="34.42578125" style="143" customWidth="1"/>
    <col min="5356" max="5364" width="9.140625" style="143" customWidth="1"/>
    <col min="5365" max="5365" width="12.5703125" style="143" customWidth="1"/>
    <col min="5366" max="5366" width="13.85546875" style="143" customWidth="1"/>
    <col min="5367" max="5367" width="13.7109375" style="143" customWidth="1"/>
    <col min="5368" max="5368" width="12" style="143" customWidth="1"/>
    <col min="5369" max="5609" width="9.140625" style="143"/>
    <col min="5610" max="5610" width="9.140625" style="143" customWidth="1"/>
    <col min="5611" max="5611" width="34.42578125" style="143" customWidth="1"/>
    <col min="5612" max="5620" width="9.140625" style="143" customWidth="1"/>
    <col min="5621" max="5621" width="12.5703125" style="143" customWidth="1"/>
    <col min="5622" max="5622" width="13.85546875" style="143" customWidth="1"/>
    <col min="5623" max="5623" width="13.7109375" style="143" customWidth="1"/>
    <col min="5624" max="5624" width="12" style="143" customWidth="1"/>
    <col min="5625" max="5865" width="9.140625" style="143"/>
    <col min="5866" max="5866" width="9.140625" style="143" customWidth="1"/>
    <col min="5867" max="5867" width="34.42578125" style="143" customWidth="1"/>
    <col min="5868" max="5876" width="9.140625" style="143" customWidth="1"/>
    <col min="5877" max="5877" width="12.5703125" style="143" customWidth="1"/>
    <col min="5878" max="5878" width="13.85546875" style="143" customWidth="1"/>
    <col min="5879" max="5879" width="13.7109375" style="143" customWidth="1"/>
    <col min="5880" max="5880" width="12" style="143" customWidth="1"/>
    <col min="5881" max="6121" width="9.140625" style="143"/>
    <col min="6122" max="6122" width="9.140625" style="143" customWidth="1"/>
    <col min="6123" max="6123" width="34.42578125" style="143" customWidth="1"/>
    <col min="6124" max="6132" width="9.140625" style="143" customWidth="1"/>
    <col min="6133" max="6133" width="12.5703125" style="143" customWidth="1"/>
    <col min="6134" max="6134" width="13.85546875" style="143" customWidth="1"/>
    <col min="6135" max="6135" width="13.7109375" style="143" customWidth="1"/>
    <col min="6136" max="6136" width="12" style="143" customWidth="1"/>
    <col min="6137" max="6377" width="9.140625" style="143"/>
    <col min="6378" max="6378" width="9.140625" style="143" customWidth="1"/>
    <col min="6379" max="6379" width="34.42578125" style="143" customWidth="1"/>
    <col min="6380" max="6388" width="9.140625" style="143" customWidth="1"/>
    <col min="6389" max="6389" width="12.5703125" style="143" customWidth="1"/>
    <col min="6390" max="6390" width="13.85546875" style="143" customWidth="1"/>
    <col min="6391" max="6391" width="13.7109375" style="143" customWidth="1"/>
    <col min="6392" max="6392" width="12" style="143" customWidth="1"/>
    <col min="6393" max="6633" width="9.140625" style="143"/>
    <col min="6634" max="6634" width="9.140625" style="143" customWidth="1"/>
    <col min="6635" max="6635" width="34.42578125" style="143" customWidth="1"/>
    <col min="6636" max="6644" width="9.140625" style="143" customWidth="1"/>
    <col min="6645" max="6645" width="12.5703125" style="143" customWidth="1"/>
    <col min="6646" max="6646" width="13.85546875" style="143" customWidth="1"/>
    <col min="6647" max="6647" width="13.7109375" style="143" customWidth="1"/>
    <col min="6648" max="6648" width="12" style="143" customWidth="1"/>
    <col min="6649" max="6889" width="9.140625" style="143"/>
    <col min="6890" max="6890" width="9.140625" style="143" customWidth="1"/>
    <col min="6891" max="6891" width="34.42578125" style="143" customWidth="1"/>
    <col min="6892" max="6900" width="9.140625" style="143" customWidth="1"/>
    <col min="6901" max="6901" width="12.5703125" style="143" customWidth="1"/>
    <col min="6902" max="6902" width="13.85546875" style="143" customWidth="1"/>
    <col min="6903" max="6903" width="13.7109375" style="143" customWidth="1"/>
    <col min="6904" max="6904" width="12" style="143" customWidth="1"/>
    <col min="6905" max="7145" width="9.140625" style="143"/>
    <col min="7146" max="7146" width="9.140625" style="143" customWidth="1"/>
    <col min="7147" max="7147" width="34.42578125" style="143" customWidth="1"/>
    <col min="7148" max="7156" width="9.140625" style="143" customWidth="1"/>
    <col min="7157" max="7157" width="12.5703125" style="143" customWidth="1"/>
    <col min="7158" max="7158" width="13.85546875" style="143" customWidth="1"/>
    <col min="7159" max="7159" width="13.7109375" style="143" customWidth="1"/>
    <col min="7160" max="7160" width="12" style="143" customWidth="1"/>
    <col min="7161" max="7401" width="9.140625" style="143"/>
    <col min="7402" max="7402" width="9.140625" style="143" customWidth="1"/>
    <col min="7403" max="7403" width="34.42578125" style="143" customWidth="1"/>
    <col min="7404" max="7412" width="9.140625" style="143" customWidth="1"/>
    <col min="7413" max="7413" width="12.5703125" style="143" customWidth="1"/>
    <col min="7414" max="7414" width="13.85546875" style="143" customWidth="1"/>
    <col min="7415" max="7415" width="13.7109375" style="143" customWidth="1"/>
    <col min="7416" max="7416" width="12" style="143" customWidth="1"/>
    <col min="7417" max="7657" width="9.140625" style="143"/>
    <col min="7658" max="7658" width="9.140625" style="143" customWidth="1"/>
    <col min="7659" max="7659" width="34.42578125" style="143" customWidth="1"/>
    <col min="7660" max="7668" width="9.140625" style="143" customWidth="1"/>
    <col min="7669" max="7669" width="12.5703125" style="143" customWidth="1"/>
    <col min="7670" max="7670" width="13.85546875" style="143" customWidth="1"/>
    <col min="7671" max="7671" width="13.7109375" style="143" customWidth="1"/>
    <col min="7672" max="7672" width="12" style="143" customWidth="1"/>
    <col min="7673" max="7913" width="9.140625" style="143"/>
    <col min="7914" max="7914" width="9.140625" style="143" customWidth="1"/>
    <col min="7915" max="7915" width="34.42578125" style="143" customWidth="1"/>
    <col min="7916" max="7924" width="9.140625" style="143" customWidth="1"/>
    <col min="7925" max="7925" width="12.5703125" style="143" customWidth="1"/>
    <col min="7926" max="7926" width="13.85546875" style="143" customWidth="1"/>
    <col min="7927" max="7927" width="13.7109375" style="143" customWidth="1"/>
    <col min="7928" max="7928" width="12" style="143" customWidth="1"/>
    <col min="7929" max="8169" width="9.140625" style="143"/>
    <col min="8170" max="8170" width="9.140625" style="143" customWidth="1"/>
    <col min="8171" max="8171" width="34.42578125" style="143" customWidth="1"/>
    <col min="8172" max="8180" width="9.140625" style="143" customWidth="1"/>
    <col min="8181" max="8181" width="12.5703125" style="143" customWidth="1"/>
    <col min="8182" max="8182" width="13.85546875" style="143" customWidth="1"/>
    <col min="8183" max="8183" width="13.7109375" style="143" customWidth="1"/>
    <col min="8184" max="8184" width="12" style="143" customWidth="1"/>
    <col min="8185" max="8425" width="9.140625" style="143"/>
    <col min="8426" max="8426" width="9.140625" style="143" customWidth="1"/>
    <col min="8427" max="8427" width="34.42578125" style="143" customWidth="1"/>
    <col min="8428" max="8436" width="9.140625" style="143" customWidth="1"/>
    <col min="8437" max="8437" width="12.5703125" style="143" customWidth="1"/>
    <col min="8438" max="8438" width="13.85546875" style="143" customWidth="1"/>
    <col min="8439" max="8439" width="13.7109375" style="143" customWidth="1"/>
    <col min="8440" max="8440" width="12" style="143" customWidth="1"/>
    <col min="8441" max="8681" width="9.140625" style="143"/>
    <col min="8682" max="8682" width="9.140625" style="143" customWidth="1"/>
    <col min="8683" max="8683" width="34.42578125" style="143" customWidth="1"/>
    <col min="8684" max="8692" width="9.140625" style="143" customWidth="1"/>
    <col min="8693" max="8693" width="12.5703125" style="143" customWidth="1"/>
    <col min="8694" max="8694" width="13.85546875" style="143" customWidth="1"/>
    <col min="8695" max="8695" width="13.7109375" style="143" customWidth="1"/>
    <col min="8696" max="8696" width="12" style="143" customWidth="1"/>
    <col min="8697" max="8937" width="9.140625" style="143"/>
    <col min="8938" max="8938" width="9.140625" style="143" customWidth="1"/>
    <col min="8939" max="8939" width="34.42578125" style="143" customWidth="1"/>
    <col min="8940" max="8948" width="9.140625" style="143" customWidth="1"/>
    <col min="8949" max="8949" width="12.5703125" style="143" customWidth="1"/>
    <col min="8950" max="8950" width="13.85546875" style="143" customWidth="1"/>
    <col min="8951" max="8951" width="13.7109375" style="143" customWidth="1"/>
    <col min="8952" max="8952" width="12" style="143" customWidth="1"/>
    <col min="8953" max="9193" width="9.140625" style="143"/>
    <col min="9194" max="9194" width="9.140625" style="143" customWidth="1"/>
    <col min="9195" max="9195" width="34.42578125" style="143" customWidth="1"/>
    <col min="9196" max="9204" width="9.140625" style="143" customWidth="1"/>
    <col min="9205" max="9205" width="12.5703125" style="143" customWidth="1"/>
    <col min="9206" max="9206" width="13.85546875" style="143" customWidth="1"/>
    <col min="9207" max="9207" width="13.7109375" style="143" customWidth="1"/>
    <col min="9208" max="9208" width="12" style="143" customWidth="1"/>
    <col min="9209" max="9449" width="9.140625" style="143"/>
    <col min="9450" max="9450" width="9.140625" style="143" customWidth="1"/>
    <col min="9451" max="9451" width="34.42578125" style="143" customWidth="1"/>
    <col min="9452" max="9460" width="9.140625" style="143" customWidth="1"/>
    <col min="9461" max="9461" width="12.5703125" style="143" customWidth="1"/>
    <col min="9462" max="9462" width="13.85546875" style="143" customWidth="1"/>
    <col min="9463" max="9463" width="13.7109375" style="143" customWidth="1"/>
    <col min="9464" max="9464" width="12" style="143" customWidth="1"/>
    <col min="9465" max="9705" width="9.140625" style="143"/>
    <col min="9706" max="9706" width="9.140625" style="143" customWidth="1"/>
    <col min="9707" max="9707" width="34.42578125" style="143" customWidth="1"/>
    <col min="9708" max="9716" width="9.140625" style="143" customWidth="1"/>
    <col min="9717" max="9717" width="12.5703125" style="143" customWidth="1"/>
    <col min="9718" max="9718" width="13.85546875" style="143" customWidth="1"/>
    <col min="9719" max="9719" width="13.7109375" style="143" customWidth="1"/>
    <col min="9720" max="9720" width="12" style="143" customWidth="1"/>
    <col min="9721" max="9961" width="9.140625" style="143"/>
    <col min="9962" max="9962" width="9.140625" style="143" customWidth="1"/>
    <col min="9963" max="9963" width="34.42578125" style="143" customWidth="1"/>
    <col min="9964" max="9972" width="9.140625" style="143" customWidth="1"/>
    <col min="9973" max="9973" width="12.5703125" style="143" customWidth="1"/>
    <col min="9974" max="9974" width="13.85546875" style="143" customWidth="1"/>
    <col min="9975" max="9975" width="13.7109375" style="143" customWidth="1"/>
    <col min="9976" max="9976" width="12" style="143" customWidth="1"/>
    <col min="9977" max="10217" width="9.140625" style="143"/>
    <col min="10218" max="10218" width="9.140625" style="143" customWidth="1"/>
    <col min="10219" max="10219" width="34.42578125" style="143" customWidth="1"/>
    <col min="10220" max="10228" width="9.140625" style="143" customWidth="1"/>
    <col min="10229" max="10229" width="12.5703125" style="143" customWidth="1"/>
    <col min="10230" max="10230" width="13.85546875" style="143" customWidth="1"/>
    <col min="10231" max="10231" width="13.7109375" style="143" customWidth="1"/>
    <col min="10232" max="10232" width="12" style="143" customWidth="1"/>
    <col min="10233" max="10473" width="9.140625" style="143"/>
    <col min="10474" max="10474" width="9.140625" style="143" customWidth="1"/>
    <col min="10475" max="10475" width="34.42578125" style="143" customWidth="1"/>
    <col min="10476" max="10484" width="9.140625" style="143" customWidth="1"/>
    <col min="10485" max="10485" width="12.5703125" style="143" customWidth="1"/>
    <col min="10486" max="10486" width="13.85546875" style="143" customWidth="1"/>
    <col min="10487" max="10487" width="13.7109375" style="143" customWidth="1"/>
    <col min="10488" max="10488" width="12" style="143" customWidth="1"/>
    <col min="10489" max="10729" width="9.140625" style="143"/>
    <col min="10730" max="10730" width="9.140625" style="143" customWidth="1"/>
    <col min="10731" max="10731" width="34.42578125" style="143" customWidth="1"/>
    <col min="10732" max="10740" width="9.140625" style="143" customWidth="1"/>
    <col min="10741" max="10741" width="12.5703125" style="143" customWidth="1"/>
    <col min="10742" max="10742" width="13.85546875" style="143" customWidth="1"/>
    <col min="10743" max="10743" width="13.7109375" style="143" customWidth="1"/>
    <col min="10744" max="10744" width="12" style="143" customWidth="1"/>
    <col min="10745" max="10985" width="9.140625" style="143"/>
    <col min="10986" max="10986" width="9.140625" style="143" customWidth="1"/>
    <col min="10987" max="10987" width="34.42578125" style="143" customWidth="1"/>
    <col min="10988" max="10996" width="9.140625" style="143" customWidth="1"/>
    <col min="10997" max="10997" width="12.5703125" style="143" customWidth="1"/>
    <col min="10998" max="10998" width="13.85546875" style="143" customWidth="1"/>
    <col min="10999" max="10999" width="13.7109375" style="143" customWidth="1"/>
    <col min="11000" max="11000" width="12" style="143" customWidth="1"/>
    <col min="11001" max="11241" width="9.140625" style="143"/>
    <col min="11242" max="11242" width="9.140625" style="143" customWidth="1"/>
    <col min="11243" max="11243" width="34.42578125" style="143" customWidth="1"/>
    <col min="11244" max="11252" width="9.140625" style="143" customWidth="1"/>
    <col min="11253" max="11253" width="12.5703125" style="143" customWidth="1"/>
    <col min="11254" max="11254" width="13.85546875" style="143" customWidth="1"/>
    <col min="11255" max="11255" width="13.7109375" style="143" customWidth="1"/>
    <col min="11256" max="11256" width="12" style="143" customWidth="1"/>
    <col min="11257" max="11497" width="9.140625" style="143"/>
    <col min="11498" max="11498" width="9.140625" style="143" customWidth="1"/>
    <col min="11499" max="11499" width="34.42578125" style="143" customWidth="1"/>
    <col min="11500" max="11508" width="9.140625" style="143" customWidth="1"/>
    <col min="11509" max="11509" width="12.5703125" style="143" customWidth="1"/>
    <col min="11510" max="11510" width="13.85546875" style="143" customWidth="1"/>
    <col min="11511" max="11511" width="13.7109375" style="143" customWidth="1"/>
    <col min="11512" max="11512" width="12" style="143" customWidth="1"/>
    <col min="11513" max="11753" width="9.140625" style="143"/>
    <col min="11754" max="11754" width="9.140625" style="143" customWidth="1"/>
    <col min="11755" max="11755" width="34.42578125" style="143" customWidth="1"/>
    <col min="11756" max="11764" width="9.140625" style="143" customWidth="1"/>
    <col min="11765" max="11765" width="12.5703125" style="143" customWidth="1"/>
    <col min="11766" max="11766" width="13.85546875" style="143" customWidth="1"/>
    <col min="11767" max="11767" width="13.7109375" style="143" customWidth="1"/>
    <col min="11768" max="11768" width="12" style="143" customWidth="1"/>
    <col min="11769" max="12009" width="9.140625" style="143"/>
    <col min="12010" max="12010" width="9.140625" style="143" customWidth="1"/>
    <col min="12011" max="12011" width="34.42578125" style="143" customWidth="1"/>
    <col min="12012" max="12020" width="9.140625" style="143" customWidth="1"/>
    <col min="12021" max="12021" width="12.5703125" style="143" customWidth="1"/>
    <col min="12022" max="12022" width="13.85546875" style="143" customWidth="1"/>
    <col min="12023" max="12023" width="13.7109375" style="143" customWidth="1"/>
    <col min="12024" max="12024" width="12" style="143" customWidth="1"/>
    <col min="12025" max="12265" width="9.140625" style="143"/>
    <col min="12266" max="12266" width="9.140625" style="143" customWidth="1"/>
    <col min="12267" max="12267" width="34.42578125" style="143" customWidth="1"/>
    <col min="12268" max="12276" width="9.140625" style="143" customWidth="1"/>
    <col min="12277" max="12277" width="12.5703125" style="143" customWidth="1"/>
    <col min="12278" max="12278" width="13.85546875" style="143" customWidth="1"/>
    <col min="12279" max="12279" width="13.7109375" style="143" customWidth="1"/>
    <col min="12280" max="12280" width="12" style="143" customWidth="1"/>
    <col min="12281" max="12521" width="9.140625" style="143"/>
    <col min="12522" max="12522" width="9.140625" style="143" customWidth="1"/>
    <col min="12523" max="12523" width="34.42578125" style="143" customWidth="1"/>
    <col min="12524" max="12532" width="9.140625" style="143" customWidth="1"/>
    <col min="12533" max="12533" width="12.5703125" style="143" customWidth="1"/>
    <col min="12534" max="12534" width="13.85546875" style="143" customWidth="1"/>
    <col min="12535" max="12535" width="13.7109375" style="143" customWidth="1"/>
    <col min="12536" max="12536" width="12" style="143" customWidth="1"/>
    <col min="12537" max="12777" width="9.140625" style="143"/>
    <col min="12778" max="12778" width="9.140625" style="143" customWidth="1"/>
    <col min="12779" max="12779" width="34.42578125" style="143" customWidth="1"/>
    <col min="12780" max="12788" width="9.140625" style="143" customWidth="1"/>
    <col min="12789" max="12789" width="12.5703125" style="143" customWidth="1"/>
    <col min="12790" max="12790" width="13.85546875" style="143" customWidth="1"/>
    <col min="12791" max="12791" width="13.7109375" style="143" customWidth="1"/>
    <col min="12792" max="12792" width="12" style="143" customWidth="1"/>
    <col min="12793" max="13033" width="9.140625" style="143"/>
    <col min="13034" max="13034" width="9.140625" style="143" customWidth="1"/>
    <col min="13035" max="13035" width="34.42578125" style="143" customWidth="1"/>
    <col min="13036" max="13044" width="9.140625" style="143" customWidth="1"/>
    <col min="13045" max="13045" width="12.5703125" style="143" customWidth="1"/>
    <col min="13046" max="13046" width="13.85546875" style="143" customWidth="1"/>
    <col min="13047" max="13047" width="13.7109375" style="143" customWidth="1"/>
    <col min="13048" max="13048" width="12" style="143" customWidth="1"/>
    <col min="13049" max="13289" width="9.140625" style="143"/>
    <col min="13290" max="13290" width="9.140625" style="143" customWidth="1"/>
    <col min="13291" max="13291" width="34.42578125" style="143" customWidth="1"/>
    <col min="13292" max="13300" width="9.140625" style="143" customWidth="1"/>
    <col min="13301" max="13301" width="12.5703125" style="143" customWidth="1"/>
    <col min="13302" max="13302" width="13.85546875" style="143" customWidth="1"/>
    <col min="13303" max="13303" width="13.7109375" style="143" customWidth="1"/>
    <col min="13304" max="13304" width="12" style="143" customWidth="1"/>
    <col min="13305" max="13545" width="9.140625" style="143"/>
    <col min="13546" max="13546" width="9.140625" style="143" customWidth="1"/>
    <col min="13547" max="13547" width="34.42578125" style="143" customWidth="1"/>
    <col min="13548" max="13556" width="9.140625" style="143" customWidth="1"/>
    <col min="13557" max="13557" width="12.5703125" style="143" customWidth="1"/>
    <col min="13558" max="13558" width="13.85546875" style="143" customWidth="1"/>
    <col min="13559" max="13559" width="13.7109375" style="143" customWidth="1"/>
    <col min="13560" max="13560" width="12" style="143" customWidth="1"/>
    <col min="13561" max="13801" width="9.140625" style="143"/>
    <col min="13802" max="13802" width="9.140625" style="143" customWidth="1"/>
    <col min="13803" max="13803" width="34.42578125" style="143" customWidth="1"/>
    <col min="13804" max="13812" width="9.140625" style="143" customWidth="1"/>
    <col min="13813" max="13813" width="12.5703125" style="143" customWidth="1"/>
    <col min="13814" max="13814" width="13.85546875" style="143" customWidth="1"/>
    <col min="13815" max="13815" width="13.7109375" style="143" customWidth="1"/>
    <col min="13816" max="13816" width="12" style="143" customWidth="1"/>
    <col min="13817" max="14057" width="9.140625" style="143"/>
    <col min="14058" max="14058" width="9.140625" style="143" customWidth="1"/>
    <col min="14059" max="14059" width="34.42578125" style="143" customWidth="1"/>
    <col min="14060" max="14068" width="9.140625" style="143" customWidth="1"/>
    <col min="14069" max="14069" width="12.5703125" style="143" customWidth="1"/>
    <col min="14070" max="14070" width="13.85546875" style="143" customWidth="1"/>
    <col min="14071" max="14071" width="13.7109375" style="143" customWidth="1"/>
    <col min="14072" max="14072" width="12" style="143" customWidth="1"/>
    <col min="14073" max="14313" width="9.140625" style="143"/>
    <col min="14314" max="14314" width="9.140625" style="143" customWidth="1"/>
    <col min="14315" max="14315" width="34.42578125" style="143" customWidth="1"/>
    <col min="14316" max="14324" width="9.140625" style="143" customWidth="1"/>
    <col min="14325" max="14325" width="12.5703125" style="143" customWidth="1"/>
    <col min="14326" max="14326" width="13.85546875" style="143" customWidth="1"/>
    <col min="14327" max="14327" width="13.7109375" style="143" customWidth="1"/>
    <col min="14328" max="14328" width="12" style="143" customWidth="1"/>
    <col min="14329" max="14569" width="9.140625" style="143"/>
    <col min="14570" max="14570" width="9.140625" style="143" customWidth="1"/>
    <col min="14571" max="14571" width="34.42578125" style="143" customWidth="1"/>
    <col min="14572" max="14580" width="9.140625" style="143" customWidth="1"/>
    <col min="14581" max="14581" width="12.5703125" style="143" customWidth="1"/>
    <col min="14582" max="14582" width="13.85546875" style="143" customWidth="1"/>
    <col min="14583" max="14583" width="13.7109375" style="143" customWidth="1"/>
    <col min="14584" max="14584" width="12" style="143" customWidth="1"/>
    <col min="14585" max="14825" width="9.140625" style="143"/>
    <col min="14826" max="14826" width="9.140625" style="143" customWidth="1"/>
    <col min="14827" max="14827" width="34.42578125" style="143" customWidth="1"/>
    <col min="14828" max="14836" width="9.140625" style="143" customWidth="1"/>
    <col min="14837" max="14837" width="12.5703125" style="143" customWidth="1"/>
    <col min="14838" max="14838" width="13.85546875" style="143" customWidth="1"/>
    <col min="14839" max="14839" width="13.7109375" style="143" customWidth="1"/>
    <col min="14840" max="14840" width="12" style="143" customWidth="1"/>
    <col min="14841" max="15081" width="9.140625" style="143"/>
    <col min="15082" max="15082" width="9.140625" style="143" customWidth="1"/>
    <col min="15083" max="15083" width="34.42578125" style="143" customWidth="1"/>
    <col min="15084" max="15092" width="9.140625" style="143" customWidth="1"/>
    <col min="15093" max="15093" width="12.5703125" style="143" customWidth="1"/>
    <col min="15094" max="15094" width="13.85546875" style="143" customWidth="1"/>
    <col min="15095" max="15095" width="13.7109375" style="143" customWidth="1"/>
    <col min="15096" max="15096" width="12" style="143" customWidth="1"/>
    <col min="15097" max="15337" width="9.140625" style="143"/>
    <col min="15338" max="15338" width="9.140625" style="143" customWidth="1"/>
    <col min="15339" max="15339" width="34.42578125" style="143" customWidth="1"/>
    <col min="15340" max="15348" width="9.140625" style="143" customWidth="1"/>
    <col min="15349" max="15349" width="12.5703125" style="143" customWidth="1"/>
    <col min="15350" max="15350" width="13.85546875" style="143" customWidth="1"/>
    <col min="15351" max="15351" width="13.7109375" style="143" customWidth="1"/>
    <col min="15352" max="15352" width="12" style="143" customWidth="1"/>
    <col min="15353" max="15593" width="9.140625" style="143"/>
    <col min="15594" max="15594" width="9.140625" style="143" customWidth="1"/>
    <col min="15595" max="15595" width="34.42578125" style="143" customWidth="1"/>
    <col min="15596" max="15604" width="9.140625" style="143" customWidth="1"/>
    <col min="15605" max="15605" width="12.5703125" style="143" customWidth="1"/>
    <col min="15606" max="15606" width="13.85546875" style="143" customWidth="1"/>
    <col min="15607" max="15607" width="13.7109375" style="143" customWidth="1"/>
    <col min="15608" max="15608" width="12" style="143" customWidth="1"/>
    <col min="15609" max="15849" width="9.140625" style="143"/>
    <col min="15850" max="15850" width="9.140625" style="143" customWidth="1"/>
    <col min="15851" max="15851" width="34.42578125" style="143" customWidth="1"/>
    <col min="15852" max="15860" width="9.140625" style="143" customWidth="1"/>
    <col min="15861" max="15861" width="12.5703125" style="143" customWidth="1"/>
    <col min="15862" max="15862" width="13.85546875" style="143" customWidth="1"/>
    <col min="15863" max="15863" width="13.7109375" style="143" customWidth="1"/>
    <col min="15864" max="15864" width="12" style="143" customWidth="1"/>
    <col min="15865" max="16105" width="9.140625" style="143"/>
    <col min="16106" max="16106" width="9.140625" style="143" customWidth="1"/>
    <col min="16107" max="16107" width="34.42578125" style="143" customWidth="1"/>
    <col min="16108" max="16116" width="9.140625" style="143" customWidth="1"/>
    <col min="16117" max="16117" width="12.5703125" style="143" customWidth="1"/>
    <col min="16118" max="16118" width="13.85546875" style="143" customWidth="1"/>
    <col min="16119" max="16119" width="13.7109375" style="143" customWidth="1"/>
    <col min="16120" max="16120" width="12" style="143" customWidth="1"/>
    <col min="16121" max="16384" width="9.140625" style="143"/>
  </cols>
  <sheetData>
    <row r="1" spans="1:2" ht="18">
      <c r="A1" s="88" t="s">
        <v>707</v>
      </c>
    </row>
    <row r="2" spans="1:2">
      <c r="A2" s="577"/>
    </row>
    <row r="3" spans="1:2" ht="36">
      <c r="A3" s="642" t="s">
        <v>737</v>
      </c>
      <c r="B3" s="641" t="s">
        <v>763</v>
      </c>
    </row>
    <row r="4" spans="1:2">
      <c r="A4" s="659" t="s">
        <v>33</v>
      </c>
      <c r="B4" s="619">
        <f>B5</f>
        <v>36160</v>
      </c>
    </row>
    <row r="5" spans="1:2">
      <c r="A5" s="650" t="s">
        <v>34</v>
      </c>
      <c r="B5" s="591">
        <f>'Plán investic 2015'!H48</f>
        <v>36160</v>
      </c>
    </row>
    <row r="6" spans="1:2">
      <c r="A6" s="651" t="s">
        <v>35</v>
      </c>
      <c r="B6" s="619">
        <f>B7+B8+B9+B10+B11+B12+B13+B14+B15+B16+B17+B24+B25+B26+B27+B28+B29+B30+B31+B32+B33+B34+B35+B36+B37+B57+B38+B39+B40+B43+B46+B47+B48+B49+B50+B51+B52</f>
        <v>73538.41</v>
      </c>
    </row>
    <row r="7" spans="1:2" ht="25.5">
      <c r="A7" s="652" t="s">
        <v>774</v>
      </c>
      <c r="B7" s="591">
        <f>'1014'!D8</f>
        <v>50</v>
      </c>
    </row>
    <row r="8" spans="1:2">
      <c r="A8" s="649" t="s">
        <v>674</v>
      </c>
      <c r="B8" s="591">
        <f>'1031'!D23</f>
        <v>3000</v>
      </c>
    </row>
    <row r="9" spans="1:2" ht="12" customHeight="1">
      <c r="A9" s="649" t="s">
        <v>659</v>
      </c>
      <c r="B9" s="591">
        <f>'1036'!D6</f>
        <v>50</v>
      </c>
    </row>
    <row r="10" spans="1:2">
      <c r="A10" s="650" t="s">
        <v>660</v>
      </c>
      <c r="B10" s="592">
        <f>'2212'!D12</f>
        <v>3060</v>
      </c>
    </row>
    <row r="11" spans="1:2">
      <c r="A11" s="650" t="s">
        <v>668</v>
      </c>
      <c r="B11" s="591">
        <f>'2310'!D8</f>
        <v>500</v>
      </c>
    </row>
    <row r="12" spans="1:2" ht="14.25" customHeight="1">
      <c r="A12" s="653" t="s">
        <v>775</v>
      </c>
      <c r="B12" s="591">
        <f>'2321'!I7</f>
        <v>400</v>
      </c>
    </row>
    <row r="13" spans="1:2">
      <c r="A13" s="650" t="s">
        <v>661</v>
      </c>
      <c r="B13" s="591">
        <f>'3111'!J8</f>
        <v>1693.41</v>
      </c>
    </row>
    <row r="14" spans="1:2">
      <c r="A14" s="650" t="s">
        <v>662</v>
      </c>
      <c r="B14" s="591">
        <f>'3113'!J9</f>
        <v>4120</v>
      </c>
    </row>
    <row r="15" spans="1:2">
      <c r="A15" s="650" t="s">
        <v>663</v>
      </c>
      <c r="B15" s="591">
        <f>'3231'!J8</f>
        <v>189</v>
      </c>
    </row>
    <row r="16" spans="1:2">
      <c r="A16" s="650" t="s">
        <v>36</v>
      </c>
      <c r="B16" s="591">
        <f>'3314'!I26</f>
        <v>900</v>
      </c>
    </row>
    <row r="17" spans="1:2">
      <c r="A17" s="650" t="s">
        <v>664</v>
      </c>
      <c r="B17" s="591">
        <f>SUM(B18:B23)</f>
        <v>4500</v>
      </c>
    </row>
    <row r="18" spans="1:2">
      <c r="A18" s="654" t="s">
        <v>747</v>
      </c>
      <c r="B18" s="97">
        <f>'3319'!I35</f>
        <v>3445</v>
      </c>
    </row>
    <row r="19" spans="1:2">
      <c r="A19" s="654" t="s">
        <v>743</v>
      </c>
      <c r="B19" s="97">
        <f>'3319'!I45</f>
        <v>105</v>
      </c>
    </row>
    <row r="20" spans="1:2">
      <c r="A20" s="654" t="s">
        <v>744</v>
      </c>
      <c r="B20" s="97">
        <f>'3319'!I51</f>
        <v>50</v>
      </c>
    </row>
    <row r="21" spans="1:2">
      <c r="A21" s="654" t="s">
        <v>739</v>
      </c>
      <c r="B21" s="97">
        <f>'3319'!I59</f>
        <v>430</v>
      </c>
    </row>
    <row r="22" spans="1:2">
      <c r="A22" s="654" t="s">
        <v>745</v>
      </c>
      <c r="B22" s="97">
        <f>'3319'!I66</f>
        <v>400</v>
      </c>
    </row>
    <row r="23" spans="1:2">
      <c r="A23" s="654" t="s">
        <v>746</v>
      </c>
      <c r="B23" s="97">
        <f>'3319'!I70</f>
        <v>70</v>
      </c>
    </row>
    <row r="24" spans="1:2" ht="25.5">
      <c r="A24" s="652" t="s">
        <v>773</v>
      </c>
      <c r="B24" s="591">
        <f>'3326'!I6</f>
        <v>200</v>
      </c>
    </row>
    <row r="25" spans="1:2" ht="12.75" customHeight="1">
      <c r="A25" s="653" t="s">
        <v>776</v>
      </c>
      <c r="B25" s="591">
        <f>'3330'!I6</f>
        <v>200</v>
      </c>
    </row>
    <row r="26" spans="1:2">
      <c r="A26" s="650" t="s">
        <v>665</v>
      </c>
      <c r="B26" s="591">
        <f>'3412'!I10</f>
        <v>100</v>
      </c>
    </row>
    <row r="27" spans="1:2">
      <c r="A27" s="653" t="s">
        <v>777</v>
      </c>
      <c r="B27" s="591">
        <f>'3419'!I6</f>
        <v>500</v>
      </c>
    </row>
    <row r="28" spans="1:2">
      <c r="A28" s="650" t="s">
        <v>666</v>
      </c>
      <c r="B28" s="591">
        <f>'3421'!I9</f>
        <v>150</v>
      </c>
    </row>
    <row r="29" spans="1:2">
      <c r="A29" s="650" t="s">
        <v>37</v>
      </c>
      <c r="B29" s="591">
        <f>'3612'!I30</f>
        <v>8206</v>
      </c>
    </row>
    <row r="30" spans="1:2">
      <c r="A30" s="650" t="s">
        <v>38</v>
      </c>
      <c r="B30" s="591">
        <f>'3613'!I12</f>
        <v>2280</v>
      </c>
    </row>
    <row r="31" spans="1:2">
      <c r="A31" s="650" t="s">
        <v>39</v>
      </c>
      <c r="B31" s="591">
        <f>'3631'!I9</f>
        <v>600</v>
      </c>
    </row>
    <row r="32" spans="1:2">
      <c r="A32" s="650" t="s">
        <v>40</v>
      </c>
      <c r="B32" s="591">
        <f>'3632'!I8</f>
        <v>15</v>
      </c>
    </row>
    <row r="33" spans="1:2">
      <c r="A33" s="650" t="s">
        <v>667</v>
      </c>
      <c r="B33" s="591">
        <f>'3722'!I9</f>
        <v>3130</v>
      </c>
    </row>
    <row r="34" spans="1:2">
      <c r="A34" s="653" t="s">
        <v>778</v>
      </c>
      <c r="B34" s="591">
        <f>'3745'!I30</f>
        <v>5400</v>
      </c>
    </row>
    <row r="35" spans="1:2" ht="27" customHeight="1">
      <c r="A35" s="652" t="s">
        <v>770</v>
      </c>
      <c r="B35" s="591">
        <f>'3900'!I9</f>
        <v>500</v>
      </c>
    </row>
    <row r="36" spans="1:2">
      <c r="A36" s="653" t="s">
        <v>772</v>
      </c>
      <c r="B36" s="591">
        <f>'4339'!I16</f>
        <v>368</v>
      </c>
    </row>
    <row r="37" spans="1:2">
      <c r="A37" s="653" t="s">
        <v>771</v>
      </c>
      <c r="B37" s="591">
        <f>'4351'!I21</f>
        <v>700</v>
      </c>
    </row>
    <row r="38" spans="1:2">
      <c r="A38" s="650" t="s">
        <v>691</v>
      </c>
      <c r="B38" s="591">
        <f>'5212'!I8</f>
        <v>16.5</v>
      </c>
    </row>
    <row r="39" spans="1:2" ht="11.25" customHeight="1">
      <c r="A39" s="650" t="s">
        <v>654</v>
      </c>
      <c r="B39" s="591">
        <f>'5311'!I6</f>
        <v>40</v>
      </c>
    </row>
    <row r="40" spans="1:2">
      <c r="A40" s="650" t="s">
        <v>669</v>
      </c>
      <c r="B40" s="591">
        <f>SUM(B41:B42)</f>
        <v>535</v>
      </c>
    </row>
    <row r="41" spans="1:2">
      <c r="A41" s="654" t="s">
        <v>748</v>
      </c>
      <c r="B41" s="97">
        <f>'5512'!I21</f>
        <v>511</v>
      </c>
    </row>
    <row r="42" spans="1:2">
      <c r="A42" s="654" t="s">
        <v>749</v>
      </c>
      <c r="B42" s="97">
        <f>'5512'!I30</f>
        <v>24</v>
      </c>
    </row>
    <row r="43" spans="1:2" ht="13.5" customHeight="1">
      <c r="A43" s="650" t="s">
        <v>670</v>
      </c>
      <c r="B43" s="591">
        <f>'6112'!I8</f>
        <v>1900</v>
      </c>
    </row>
    <row r="44" spans="1:2" ht="24" hidden="1" customHeight="1">
      <c r="A44" s="655" t="s">
        <v>695</v>
      </c>
      <c r="B44" s="587"/>
    </row>
    <row r="45" spans="1:2" ht="13.5" hidden="1" customHeight="1">
      <c r="A45" s="650" t="s">
        <v>696</v>
      </c>
      <c r="B45" s="587"/>
    </row>
    <row r="46" spans="1:2" ht="13.5" customHeight="1">
      <c r="A46" s="650" t="s">
        <v>671</v>
      </c>
      <c r="B46" s="591">
        <f>'6171'!I42</f>
        <v>27106</v>
      </c>
    </row>
    <row r="47" spans="1:2" ht="12" customHeight="1">
      <c r="A47" s="653" t="s">
        <v>779</v>
      </c>
      <c r="B47" s="591">
        <f>'6310'!I6</f>
        <v>80</v>
      </c>
    </row>
    <row r="48" spans="1:2" ht="12.75" customHeight="1">
      <c r="A48" s="653" t="s">
        <v>780</v>
      </c>
      <c r="B48" s="591">
        <f>'6330'!I13</f>
        <v>600</v>
      </c>
    </row>
    <row r="49" spans="1:2" ht="13.5" customHeight="1">
      <c r="A49" s="656" t="s">
        <v>702</v>
      </c>
      <c r="B49" s="592">
        <f>'6399'!I11</f>
        <v>2000</v>
      </c>
    </row>
    <row r="50" spans="1:2" ht="13.5" customHeight="1">
      <c r="A50" s="657" t="s">
        <v>672</v>
      </c>
      <c r="B50" s="591">
        <f>'6402'!I6</f>
        <v>14.5</v>
      </c>
    </row>
    <row r="51" spans="1:2">
      <c r="A51" s="653" t="s">
        <v>781</v>
      </c>
      <c r="B51" s="591">
        <f>'6409'!I6</f>
        <v>185</v>
      </c>
    </row>
    <row r="52" spans="1:2" ht="14.25" customHeight="1">
      <c r="A52" s="650" t="s">
        <v>41</v>
      </c>
      <c r="B52" s="591">
        <f>SUM(B53:B55)</f>
        <v>250</v>
      </c>
    </row>
    <row r="53" spans="1:2" ht="14.25" customHeight="1">
      <c r="A53" s="654" t="s">
        <v>750</v>
      </c>
      <c r="B53" s="97">
        <f>'Vytváření rezerv'!I5</f>
        <v>50</v>
      </c>
    </row>
    <row r="54" spans="1:2" ht="14.25" customHeight="1">
      <c r="A54" s="654" t="s">
        <v>751</v>
      </c>
      <c r="B54" s="97">
        <f>'Vytváření rezerv'!I6</f>
        <v>50</v>
      </c>
    </row>
    <row r="55" spans="1:2" ht="14.25" customHeight="1">
      <c r="A55" s="654" t="s">
        <v>752</v>
      </c>
      <c r="B55" s="97">
        <f>'Vytváření rezerv'!I7</f>
        <v>150</v>
      </c>
    </row>
    <row r="56" spans="1:2" ht="20.25">
      <c r="A56" s="658" t="s">
        <v>43</v>
      </c>
      <c r="B56" s="648">
        <f>B4+B6</f>
        <v>109698.41</v>
      </c>
    </row>
    <row r="58" spans="1:2">
      <c r="A58" s="578" t="s">
        <v>768</v>
      </c>
    </row>
    <row r="62" spans="1:2">
      <c r="A62" s="633"/>
    </row>
    <row r="63" spans="1:2">
      <c r="A63" s="578" t="s">
        <v>764</v>
      </c>
    </row>
    <row r="66" spans="1:2">
      <c r="B66" s="647" t="s">
        <v>765</v>
      </c>
    </row>
    <row r="67" spans="1:2">
      <c r="B67" s="646" t="s">
        <v>769</v>
      </c>
    </row>
    <row r="75" spans="1:2">
      <c r="A75" s="634"/>
    </row>
    <row r="76" spans="1:2">
      <c r="A76" s="633"/>
    </row>
  </sheetData>
  <hyperlinks>
    <hyperlink ref="A8" location="'1031'!A1" display="1031 - Pěstební činnost ( lesní hospodářství ) "/>
    <hyperlink ref="A9" location="'1036'!A1" display="1036 - Správa v lesním hospodářství"/>
    <hyperlink ref="A10" location="'2212'!A1" display="2212 - Silnice"/>
    <hyperlink ref="A11" location="'2310'!A1" display="2310 - Pitná voda "/>
    <hyperlink ref="A13" location="'3111'!A1" display="3111 - Předškolní zařízení"/>
    <hyperlink ref="A14" location="'3113'!A1" display="3113 - Základní školy"/>
    <hyperlink ref="A15" location="'3231'!A1" display="3231 - Základní umělecké školy"/>
    <hyperlink ref="A16" location="'3314'!A1" display="3314 - Činnosti knihovnické"/>
    <hyperlink ref="A17" location="'3319'!A1" display="3319 - Ostatní záležitosti kultury"/>
    <hyperlink ref="A26" location="'3412'!A1" display="3412 - Sportovní zařízení v majetku obce"/>
    <hyperlink ref="A28" location="'3421'!A1" display="3421 - Využití volného času mládeže"/>
    <hyperlink ref="A29" location="'3612'!A1" display="3612 - Bytové hospodářství"/>
    <hyperlink ref="A30" location="'3613'!A1" display="3613 - Nebytové hospodářství"/>
    <hyperlink ref="A31" location="'3631'!A1" display="3631 - Veřejné osvětlení"/>
    <hyperlink ref="A32" location="'3632'!A1" display="3632 - Pohřebnictví"/>
    <hyperlink ref="A33" location="'3722'!A1" display="3722 - Sběr a svoz komunálních odpadů"/>
    <hyperlink ref="A38" location="'5212'!A1" display="5212 - Ochrana obyvatelstva"/>
    <hyperlink ref="A39" location="'5311'!A1" display="5311 - Bezpečnost a veřejný pořádek"/>
    <hyperlink ref="A40" location="'5512'!A1" display="5512 - Požární ochrana - dobrovolná část"/>
    <hyperlink ref="A43" location="'6112'!A1" display="6112 - Zastupitelstva obcí"/>
    <hyperlink ref="A44" location="'6115'!A1" display="'6115'!A1"/>
    <hyperlink ref="A45" location="'6117'!A1" display="6117 - Volby do Evropského parlamentu"/>
    <hyperlink ref="A46" location="'6171'!A1" display="6171 - Činnost místní správy"/>
    <hyperlink ref="A49" location="'6399'!A1" display="6399 - Ostatní finanční operace"/>
    <hyperlink ref="A50" location="'6402'!A1" display="6402 - Finanční vypořádání minulých let"/>
    <hyperlink ref="A52" location="'Vytváření rezerv'!A1" display="Vytváření rezerv"/>
    <hyperlink ref="A5" location="'Plán investic 2015'!A1" display="Investice"/>
    <hyperlink ref="A35" location="'3900'!A1" display="'3900'!A1"/>
    <hyperlink ref="A37" location="'4351'!A1" display="4351 - Osobní asistence, pečovatelská služba a podpora samostatného bydlení"/>
    <hyperlink ref="A36" location="'4339'!A1" display="4339 - Ostatní sociální péče a pomoc rodině a manželství (pěstounská péče)"/>
    <hyperlink ref="A24" location="'3326'!A1" display="'3326'!A1"/>
    <hyperlink ref="A7" location="'1014'!A1" display="'1014'!A1"/>
    <hyperlink ref="A12" location="'2321'!A1" display="2321 - Odvádění a čištění odpadních vod a nakládání s kaly"/>
    <hyperlink ref="A25" location="'3330'!A1" display="3330 - Činnosti registrovaných církví a náboženských společností "/>
    <hyperlink ref="A27" location="'3419'!A1" display="3419 - Ostatní tělovýchovná činnost ( městské granty )"/>
    <hyperlink ref="A34" location="'3745'!A1" display="3745 - Péče o vzhled obcí a veřejnou zeleň ( místní hospodářství)"/>
    <hyperlink ref="A47" location="'6310'!A1" display="6310 - Obecné příjmy a výdaje z finančních operací (služby peněžních ústavů)"/>
    <hyperlink ref="A48" location="'6330'!A1" display="6330 - Převody vlastním fondům v rozpočtech územní úrovně "/>
    <hyperlink ref="A51" location="'6409'!A1" display="6409 - Ostatní činnosti jinde nazařazené ( příspěvek do mikroregionu )"/>
  </hyperlinks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12" ht="15.75">
      <c r="B1" s="1"/>
      <c r="D1" s="387"/>
      <c r="E1" s="3"/>
      <c r="F1" s="3"/>
      <c r="G1" s="394"/>
      <c r="H1" s="394"/>
    </row>
    <row r="2" spans="1:12" ht="17.25" customHeight="1">
      <c r="A2" s="580" t="s">
        <v>673</v>
      </c>
      <c r="B2" s="4"/>
      <c r="D2" s="5"/>
      <c r="E2" s="6"/>
      <c r="F2" s="6"/>
      <c r="G2" s="395"/>
      <c r="H2" s="395"/>
    </row>
    <row r="3" spans="1:12" ht="17.25" customHeight="1">
      <c r="B3" s="4"/>
      <c r="D3" s="5"/>
      <c r="E3" s="6"/>
      <c r="F3" s="6"/>
      <c r="G3" s="395"/>
      <c r="H3" s="395"/>
    </row>
    <row r="4" spans="1:12" ht="39" customHeight="1">
      <c r="A4" s="75" t="s">
        <v>313</v>
      </c>
      <c r="B4" s="488" t="s">
        <v>493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12">
      <c r="A5" s="75" t="s">
        <v>494</v>
      </c>
      <c r="B5" s="11" t="s">
        <v>410</v>
      </c>
      <c r="D5" s="13">
        <v>13303.84</v>
      </c>
      <c r="E5" s="14">
        <v>9258.3374999999996</v>
      </c>
      <c r="F5" s="26" t="e">
        <f>(E5/#REF!)*100</f>
        <v>#REF!</v>
      </c>
      <c r="G5" s="26">
        <f t="shared" ref="G5:G41" si="0">(E5/D5)*100</f>
        <v>69.591467576278717</v>
      </c>
      <c r="H5"/>
      <c r="I5" s="594">
        <v>14387</v>
      </c>
      <c r="K5" s="538"/>
      <c r="L5" s="85"/>
    </row>
    <row r="6" spans="1:12">
      <c r="B6" s="11" t="s">
        <v>492</v>
      </c>
      <c r="D6" s="23">
        <v>2</v>
      </c>
      <c r="E6" s="34">
        <v>1.3560000000000001</v>
      </c>
      <c r="F6" s="26"/>
      <c r="G6" s="26">
        <f t="shared" si="0"/>
        <v>67.800000000000011</v>
      </c>
      <c r="H6"/>
      <c r="I6" s="594"/>
      <c r="K6" s="538"/>
    </row>
    <row r="7" spans="1:12">
      <c r="B7" s="11" t="s">
        <v>325</v>
      </c>
      <c r="D7" s="13">
        <v>28</v>
      </c>
      <c r="E7" s="14">
        <v>6.21</v>
      </c>
      <c r="F7" s="26" t="e">
        <f>(E7/#REF!)*100</f>
        <v>#REF!</v>
      </c>
      <c r="G7" s="26">
        <f t="shared" si="0"/>
        <v>22.178571428571427</v>
      </c>
      <c r="H7"/>
      <c r="I7" s="594">
        <v>31</v>
      </c>
      <c r="K7" s="538"/>
    </row>
    <row r="8" spans="1:12">
      <c r="B8" s="11" t="s">
        <v>479</v>
      </c>
      <c r="D8" s="24">
        <v>4250</v>
      </c>
      <c r="E8" s="25">
        <v>3279.4531999999999</v>
      </c>
      <c r="F8" s="26" t="e">
        <f>(E8/#REF!)*100</f>
        <v>#REF!</v>
      </c>
      <c r="G8" s="26">
        <f t="shared" si="0"/>
        <v>77.163604705882349</v>
      </c>
      <c r="H8"/>
      <c r="I8" s="594">
        <v>4541</v>
      </c>
      <c r="K8" s="538"/>
    </row>
    <row r="9" spans="1:12">
      <c r="B9" s="11" t="s">
        <v>327</v>
      </c>
      <c r="D9" s="23">
        <v>1700</v>
      </c>
      <c r="E9" s="34">
        <v>1394.6757</v>
      </c>
      <c r="F9" s="26" t="e">
        <f>(E9/#REF!)*100</f>
        <v>#REF!</v>
      </c>
      <c r="G9" s="26">
        <f t="shared" si="0"/>
        <v>82.039747058823536</v>
      </c>
      <c r="H9"/>
      <c r="I9" s="594">
        <v>1952</v>
      </c>
      <c r="K9" s="538"/>
    </row>
    <row r="10" spans="1:12">
      <c r="B10" s="11" t="s">
        <v>328</v>
      </c>
      <c r="D10" s="13">
        <v>70</v>
      </c>
      <c r="E10" s="14">
        <v>55.683</v>
      </c>
      <c r="F10" s="26" t="e">
        <f>(E10/#REF!)*100</f>
        <v>#REF!</v>
      </c>
      <c r="G10" s="26">
        <f t="shared" si="0"/>
        <v>79.547142857142859</v>
      </c>
      <c r="H10"/>
      <c r="I10" s="594">
        <v>70</v>
      </c>
      <c r="K10" s="538"/>
    </row>
    <row r="11" spans="1:12">
      <c r="B11" s="11" t="s">
        <v>495</v>
      </c>
      <c r="D11" s="13">
        <v>10</v>
      </c>
      <c r="E11" s="14">
        <v>0.75600000000000001</v>
      </c>
      <c r="F11" s="26" t="e">
        <f>(E11/#REF!)*100</f>
        <v>#REF!</v>
      </c>
      <c r="G11" s="26">
        <f t="shared" si="0"/>
        <v>7.5600000000000005</v>
      </c>
      <c r="H11"/>
      <c r="I11" s="594">
        <v>5</v>
      </c>
      <c r="K11" s="538"/>
    </row>
    <row r="12" spans="1:12">
      <c r="B12" s="11" t="s">
        <v>411</v>
      </c>
      <c r="D12" s="23">
        <v>40</v>
      </c>
      <c r="E12" s="34">
        <v>33.283200000000001</v>
      </c>
      <c r="F12" s="26" t="e">
        <f>(E12/#REF!)*100</f>
        <v>#REF!</v>
      </c>
      <c r="G12" s="26">
        <f t="shared" si="0"/>
        <v>83.207999999999998</v>
      </c>
      <c r="H12"/>
      <c r="I12" s="594">
        <v>350</v>
      </c>
      <c r="K12" s="538"/>
    </row>
    <row r="13" spans="1:12">
      <c r="B13" s="11" t="s">
        <v>330</v>
      </c>
      <c r="D13" s="13">
        <v>278.39999999999998</v>
      </c>
      <c r="E13" s="14">
        <v>236.31657999999999</v>
      </c>
      <c r="F13" s="26" t="e">
        <f>(E13/#REF!)*100</f>
        <v>#REF!</v>
      </c>
      <c r="G13" s="26">
        <f t="shared" si="0"/>
        <v>84.883829022988508</v>
      </c>
      <c r="H13"/>
      <c r="I13" s="594">
        <v>350</v>
      </c>
      <c r="K13" s="538"/>
    </row>
    <row r="14" spans="1:12" ht="25.5" customHeight="1">
      <c r="B14" s="399" t="s">
        <v>496</v>
      </c>
      <c r="D14" s="24">
        <v>395</v>
      </c>
      <c r="E14" s="25">
        <v>321.64166999999998</v>
      </c>
      <c r="F14" s="26" t="e">
        <f>(E14/#REF!)*100</f>
        <v>#REF!</v>
      </c>
      <c r="G14" s="26">
        <f t="shared" si="0"/>
        <v>81.42827088607595</v>
      </c>
      <c r="H14"/>
      <c r="I14" s="594">
        <v>400</v>
      </c>
      <c r="K14" s="538"/>
    </row>
    <row r="15" spans="1:12" ht="26.25" customHeight="1">
      <c r="B15" s="11" t="s">
        <v>352</v>
      </c>
      <c r="D15" s="23">
        <v>50</v>
      </c>
      <c r="E15" s="34">
        <v>29.786999999999999</v>
      </c>
      <c r="F15" s="26" t="e">
        <f>(E15/#REF!)*100</f>
        <v>#REF!</v>
      </c>
      <c r="G15" s="26">
        <f t="shared" si="0"/>
        <v>59.573999999999991</v>
      </c>
      <c r="H15"/>
      <c r="I15" s="594">
        <v>40</v>
      </c>
      <c r="K15" s="538"/>
    </row>
    <row r="16" spans="1:12" ht="14.25" customHeight="1">
      <c r="B16" s="11" t="s">
        <v>450</v>
      </c>
      <c r="D16" s="13">
        <v>600</v>
      </c>
      <c r="E16" s="14">
        <v>293.07299</v>
      </c>
      <c r="F16" s="26" t="e">
        <f>(E16/#REF!)*100</f>
        <v>#REF!</v>
      </c>
      <c r="G16" s="26">
        <f t="shared" si="0"/>
        <v>48.845498333333332</v>
      </c>
      <c r="H16"/>
      <c r="I16" s="594">
        <v>600</v>
      </c>
      <c r="K16" s="538"/>
    </row>
    <row r="17" spans="1:11" ht="25.5" customHeight="1">
      <c r="B17" s="11" t="s">
        <v>345</v>
      </c>
      <c r="D17" s="23">
        <v>400</v>
      </c>
      <c r="E17" s="34">
        <v>284.68061999999998</v>
      </c>
      <c r="F17" s="26" t="e">
        <f>(E17/#REF!)*100</f>
        <v>#REF!</v>
      </c>
      <c r="G17" s="26">
        <f t="shared" si="0"/>
        <v>71.170154999999994</v>
      </c>
      <c r="H17"/>
      <c r="I17" s="594">
        <v>350</v>
      </c>
      <c r="K17" s="538"/>
    </row>
    <row r="18" spans="1:11" ht="25.5" customHeight="1">
      <c r="B18" s="11" t="s">
        <v>332</v>
      </c>
      <c r="D18" s="23">
        <v>130</v>
      </c>
      <c r="E18" s="34">
        <v>83.836500000000001</v>
      </c>
      <c r="F18" s="26" t="e">
        <f>(E18/#REF!)*100</f>
        <v>#REF!</v>
      </c>
      <c r="G18" s="26">
        <f t="shared" si="0"/>
        <v>64.489615384615391</v>
      </c>
      <c r="H18"/>
      <c r="I18" s="594">
        <v>130</v>
      </c>
      <c r="K18" s="538"/>
    </row>
    <row r="19" spans="1:11">
      <c r="B19" s="75" t="s">
        <v>412</v>
      </c>
      <c r="D19" s="13">
        <v>250</v>
      </c>
      <c r="E19" s="14">
        <v>198.64599999999999</v>
      </c>
      <c r="F19" s="26" t="e">
        <f>(E19/#REF!)*100</f>
        <v>#REF!</v>
      </c>
      <c r="G19" s="26">
        <f t="shared" si="0"/>
        <v>79.458399999999997</v>
      </c>
      <c r="H19"/>
      <c r="I19" s="594">
        <v>250</v>
      </c>
      <c r="K19" s="538"/>
    </row>
    <row r="20" spans="1:11">
      <c r="B20" s="11" t="s">
        <v>333</v>
      </c>
      <c r="D20" s="24">
        <v>550</v>
      </c>
      <c r="E20" s="25">
        <v>376.22768000000002</v>
      </c>
      <c r="F20" s="26" t="e">
        <f>(E20/#REF!)*100</f>
        <v>#REF!</v>
      </c>
      <c r="G20" s="26">
        <f t="shared" si="0"/>
        <v>68.405032727272726</v>
      </c>
      <c r="H20"/>
      <c r="I20" s="594">
        <v>500</v>
      </c>
      <c r="K20" s="538"/>
    </row>
    <row r="21" spans="1:11">
      <c r="B21" s="11" t="s">
        <v>334</v>
      </c>
      <c r="D21" s="13">
        <v>390</v>
      </c>
      <c r="E21" s="14">
        <v>336.50700000000001</v>
      </c>
      <c r="F21" s="26" t="e">
        <f>(E21/#REF!)*100</f>
        <v>#REF!</v>
      </c>
      <c r="G21" s="26">
        <f t="shared" si="0"/>
        <v>86.283846153846156</v>
      </c>
      <c r="H21"/>
      <c r="I21" s="594">
        <v>400</v>
      </c>
      <c r="K21" s="538"/>
    </row>
    <row r="22" spans="1:11">
      <c r="B22" s="75" t="s">
        <v>497</v>
      </c>
      <c r="D22" s="23">
        <v>50</v>
      </c>
      <c r="E22" s="34">
        <v>26.062999999999999</v>
      </c>
      <c r="F22" s="26" t="e">
        <f>(E22/#REF!)*100</f>
        <v>#REF!</v>
      </c>
      <c r="G22" s="26">
        <f t="shared" si="0"/>
        <v>52.125999999999998</v>
      </c>
      <c r="H22"/>
      <c r="I22" s="594">
        <v>50</v>
      </c>
      <c r="K22" s="538"/>
    </row>
    <row r="23" spans="1:11" ht="25.5">
      <c r="B23" s="433" t="s">
        <v>498</v>
      </c>
      <c r="D23" s="13">
        <v>240</v>
      </c>
      <c r="E23" s="14">
        <v>237.42825999999999</v>
      </c>
      <c r="F23" s="26" t="e">
        <f>(E23/#REF!)*100</f>
        <v>#REF!</v>
      </c>
      <c r="G23" s="26">
        <f t="shared" si="0"/>
        <v>98.928441666666671</v>
      </c>
      <c r="H23"/>
      <c r="I23" s="594">
        <v>300</v>
      </c>
      <c r="K23" s="538"/>
    </row>
    <row r="24" spans="1:11">
      <c r="B24" s="11" t="s">
        <v>319</v>
      </c>
      <c r="D24" s="24">
        <v>170</v>
      </c>
      <c r="E24" s="25">
        <v>117.1845</v>
      </c>
      <c r="F24" s="26" t="e">
        <f>(E24/#REF!)*100</f>
        <v>#REF!</v>
      </c>
      <c r="G24" s="26">
        <f t="shared" si="0"/>
        <v>68.932058823529403</v>
      </c>
      <c r="H24"/>
      <c r="I24" s="594">
        <v>150</v>
      </c>
      <c r="K24" s="538"/>
    </row>
    <row r="25" spans="1:11" ht="25.5">
      <c r="B25" s="471" t="s">
        <v>550</v>
      </c>
      <c r="D25" s="24"/>
      <c r="E25" s="25"/>
      <c r="F25" s="26"/>
      <c r="G25" s="26"/>
      <c r="H25"/>
      <c r="I25" s="594">
        <v>50</v>
      </c>
      <c r="K25" s="538"/>
    </row>
    <row r="26" spans="1:11" ht="18" customHeight="1">
      <c r="A26" s="75"/>
      <c r="B26" s="471" t="s">
        <v>320</v>
      </c>
      <c r="D26" s="23">
        <v>1568.04</v>
      </c>
      <c r="E26" s="34">
        <v>1232.0013100000001</v>
      </c>
      <c r="F26" s="26" t="e">
        <f>(E26/#REF!)*100</f>
        <v>#REF!</v>
      </c>
      <c r="G26" s="26">
        <f t="shared" si="0"/>
        <v>78.56950779316854</v>
      </c>
      <c r="H26"/>
      <c r="I26" s="594">
        <v>500</v>
      </c>
      <c r="K26" s="538"/>
    </row>
    <row r="27" spans="1:11">
      <c r="B27" s="11" t="s">
        <v>335</v>
      </c>
      <c r="D27" s="13">
        <v>160</v>
      </c>
      <c r="E27" s="14">
        <v>113.57122</v>
      </c>
      <c r="F27" s="26" t="e">
        <f>(E27/#REF!)*100</f>
        <v>#REF!</v>
      </c>
      <c r="G27" s="26">
        <f t="shared" si="0"/>
        <v>70.982012499999996</v>
      </c>
      <c r="H27"/>
      <c r="I27" s="594">
        <v>160</v>
      </c>
      <c r="K27" s="538"/>
    </row>
    <row r="28" spans="1:11">
      <c r="B28" s="17" t="s">
        <v>415</v>
      </c>
      <c r="D28" s="13">
        <v>143.06</v>
      </c>
      <c r="E28" s="14">
        <v>100.32829</v>
      </c>
      <c r="F28" s="26" t="e">
        <f>(E28/#REF!)*100</f>
        <v>#REF!</v>
      </c>
      <c r="G28" s="26">
        <f t="shared" si="0"/>
        <v>70.130218090311757</v>
      </c>
      <c r="H28"/>
      <c r="I28" s="594">
        <v>20</v>
      </c>
      <c r="K28" s="538"/>
    </row>
    <row r="29" spans="1:11">
      <c r="B29" s="11" t="s">
        <v>499</v>
      </c>
      <c r="D29" s="23">
        <v>57</v>
      </c>
      <c r="E29" s="34">
        <v>56.072000000000003</v>
      </c>
      <c r="F29" s="26" t="e">
        <f>(E29/#REF!)*100</f>
        <v>#REF!</v>
      </c>
      <c r="G29" s="26">
        <f t="shared" si="0"/>
        <v>98.371929824561406</v>
      </c>
      <c r="H29"/>
      <c r="I29" s="594">
        <v>60</v>
      </c>
      <c r="K29" s="538"/>
    </row>
    <row r="30" spans="1:11">
      <c r="B30" s="11" t="s">
        <v>426</v>
      </c>
      <c r="D30" s="13">
        <v>13</v>
      </c>
      <c r="E30" s="14">
        <v>11.487</v>
      </c>
      <c r="F30" s="26" t="e">
        <f>(E30/#REF!)*100</f>
        <v>#REF!</v>
      </c>
      <c r="G30" s="26">
        <f t="shared" si="0"/>
        <v>88.361538461538458</v>
      </c>
      <c r="H30"/>
      <c r="I30" s="594">
        <v>20</v>
      </c>
      <c r="K30" s="538"/>
    </row>
    <row r="31" spans="1:11">
      <c r="B31" s="11" t="s">
        <v>500</v>
      </c>
      <c r="D31" s="24">
        <v>10</v>
      </c>
      <c r="E31" s="25">
        <v>8.1210000000000004</v>
      </c>
      <c r="F31" s="26" t="e">
        <f>(E31/#REF!)*100</f>
        <v>#REF!</v>
      </c>
      <c r="G31" s="26">
        <f t="shared" si="0"/>
        <v>81.210000000000008</v>
      </c>
      <c r="H31"/>
      <c r="I31" s="594">
        <v>10</v>
      </c>
      <c r="K31" s="538"/>
    </row>
    <row r="32" spans="1:11">
      <c r="B32" s="11" t="s">
        <v>501</v>
      </c>
      <c r="D32" s="23">
        <v>40</v>
      </c>
      <c r="E32" s="34">
        <v>16.501999999999999</v>
      </c>
      <c r="F32" s="26"/>
      <c r="G32" s="26">
        <f t="shared" si="0"/>
        <v>41.254999999999995</v>
      </c>
      <c r="H32"/>
      <c r="I32" s="594"/>
      <c r="K32" s="538"/>
    </row>
    <row r="33" spans="1:11" ht="14.25" customHeight="1">
      <c r="B33" s="11" t="s">
        <v>429</v>
      </c>
      <c r="D33" s="13">
        <v>50</v>
      </c>
      <c r="E33" s="14">
        <v>22.797000000000001</v>
      </c>
      <c r="F33" s="26" t="e">
        <f>(E33/#REF!)*100</f>
        <v>#REF!</v>
      </c>
      <c r="G33" s="26">
        <f t="shared" si="0"/>
        <v>45.594000000000001</v>
      </c>
      <c r="H33"/>
      <c r="I33" s="594">
        <v>40</v>
      </c>
      <c r="K33" s="538"/>
    </row>
    <row r="34" spans="1:11" ht="28.5" customHeight="1">
      <c r="B34" s="485" t="s">
        <v>559</v>
      </c>
      <c r="D34" s="24">
        <v>100</v>
      </c>
      <c r="E34" s="24">
        <v>20.670999999999999</v>
      </c>
      <c r="F34" s="26" t="e">
        <f>(E34/#REF!)*100</f>
        <v>#REF!</v>
      </c>
      <c r="G34" s="26">
        <f t="shared" si="0"/>
        <v>20.670999999999999</v>
      </c>
      <c r="H34"/>
      <c r="I34" s="594">
        <v>50</v>
      </c>
      <c r="K34" s="538"/>
    </row>
    <row r="35" spans="1:11" ht="28.5" customHeight="1">
      <c r="B35" s="485" t="s">
        <v>560</v>
      </c>
      <c r="D35" s="24"/>
      <c r="E35" s="24"/>
      <c r="F35" s="26"/>
      <c r="G35" s="26"/>
      <c r="H35"/>
      <c r="I35" s="594"/>
      <c r="K35" s="538"/>
    </row>
    <row r="36" spans="1:11" ht="28.5" customHeight="1">
      <c r="B36" s="17" t="s">
        <v>619</v>
      </c>
      <c r="D36" s="24"/>
      <c r="E36" s="24"/>
      <c r="F36" s="26"/>
      <c r="G36" s="26"/>
      <c r="H36"/>
      <c r="I36" s="594"/>
      <c r="K36" s="538"/>
    </row>
    <row r="37" spans="1:11" ht="14.25" customHeight="1">
      <c r="B37" s="11" t="s">
        <v>336</v>
      </c>
      <c r="D37" s="23">
        <v>462</v>
      </c>
      <c r="E37" s="34">
        <v>166.66499999999999</v>
      </c>
      <c r="F37" s="26" t="e">
        <f>(E37/#REF!)*100</f>
        <v>#REF!</v>
      </c>
      <c r="G37" s="26">
        <f t="shared" si="0"/>
        <v>36.074675324675319</v>
      </c>
      <c r="H37"/>
      <c r="I37" s="594">
        <v>450</v>
      </c>
      <c r="K37" s="538"/>
    </row>
    <row r="38" spans="1:11" ht="14.25" customHeight="1">
      <c r="B38" s="11" t="s">
        <v>502</v>
      </c>
      <c r="D38" s="13">
        <v>38</v>
      </c>
      <c r="E38" s="14">
        <v>38</v>
      </c>
      <c r="F38" s="26"/>
      <c r="G38" s="26">
        <f t="shared" si="0"/>
        <v>100</v>
      </c>
      <c r="H38"/>
      <c r="I38" s="594">
        <v>40</v>
      </c>
      <c r="K38" s="538"/>
    </row>
    <row r="39" spans="1:11" ht="14.25" customHeight="1">
      <c r="B39" s="11" t="s">
        <v>418</v>
      </c>
      <c r="D39" s="24">
        <v>50</v>
      </c>
      <c r="E39" s="25">
        <v>47.854999999999997</v>
      </c>
      <c r="F39" s="26" t="e">
        <f>(E39/#REF!)*100</f>
        <v>#REF!</v>
      </c>
      <c r="G39" s="26">
        <f t="shared" si="0"/>
        <v>95.71</v>
      </c>
      <c r="H39"/>
      <c r="I39" s="594">
        <v>50</v>
      </c>
      <c r="K39" s="538"/>
    </row>
    <row r="40" spans="1:11">
      <c r="B40" s="11" t="s">
        <v>338</v>
      </c>
      <c r="D40" s="23">
        <v>800</v>
      </c>
      <c r="E40" s="34">
        <v>677.86900000000003</v>
      </c>
      <c r="F40" s="26" t="e">
        <f>(E40/#REF!)*100</f>
        <v>#REF!</v>
      </c>
      <c r="G40" s="26">
        <f t="shared" si="0"/>
        <v>84.733625000000004</v>
      </c>
      <c r="H40"/>
      <c r="I40" s="594">
        <v>800</v>
      </c>
      <c r="K40" s="538"/>
    </row>
    <row r="41" spans="1:11">
      <c r="B41" s="11" t="s">
        <v>503</v>
      </c>
      <c r="D41" s="13">
        <v>1000</v>
      </c>
      <c r="E41" s="14">
        <v>947.36599999999999</v>
      </c>
      <c r="F41" s="26" t="e">
        <f>(E41/#REF!)*100</f>
        <v>#REF!</v>
      </c>
      <c r="G41" s="26">
        <f t="shared" si="0"/>
        <v>94.736599999999996</v>
      </c>
      <c r="H41"/>
      <c r="I41" s="594"/>
      <c r="K41" s="538"/>
    </row>
    <row r="42" spans="1:11">
      <c r="B42" s="401" t="s">
        <v>10</v>
      </c>
      <c r="D42" s="19">
        <f>SUM(D5:D41)</f>
        <v>27398.340000000004</v>
      </c>
      <c r="E42" s="76">
        <f>SUM(E5:E41)</f>
        <v>20030.452219999999</v>
      </c>
      <c r="F42" s="18" t="e">
        <f>(E42/#REF!)*100</f>
        <v>#REF!</v>
      </c>
      <c r="G42" s="18">
        <f>(E42/D42)*100</f>
        <v>73.108269406102693</v>
      </c>
      <c r="H42"/>
      <c r="I42" s="595">
        <f>SUM(I5:I41)</f>
        <v>27106</v>
      </c>
      <c r="K42" s="538"/>
    </row>
    <row r="43" spans="1:11">
      <c r="B43" s="435"/>
      <c r="D43" s="436"/>
      <c r="E43" s="437"/>
      <c r="F43" s="438"/>
      <c r="G43" s="438"/>
      <c r="H43"/>
      <c r="K43" s="538"/>
    </row>
    <row r="44" spans="1:11">
      <c r="A44" s="75"/>
      <c r="B44" s="435"/>
      <c r="D44" s="436"/>
      <c r="E44" s="437"/>
      <c r="F44" s="438"/>
      <c r="G44" s="438"/>
      <c r="H44"/>
      <c r="K44" s="538"/>
    </row>
  </sheetData>
  <conditionalFormatting sqref="K5:K44">
    <cfRule type="cellIs" dxfId="4" priority="1" operator="lessThan">
      <formula>0</formula>
    </cfRule>
    <cfRule type="cellIs" dxfId="3" priority="2" operator="greaterThan">
      <formula>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" customHeight="1">
      <c r="A4" s="75" t="s">
        <v>313</v>
      </c>
      <c r="B4" s="488" t="s">
        <v>699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 s="72" customFormat="1">
      <c r="A5" s="75" t="s">
        <v>504</v>
      </c>
      <c r="B5" s="27" t="s">
        <v>334</v>
      </c>
      <c r="D5" s="70">
        <v>80</v>
      </c>
      <c r="E5" s="71">
        <v>51.506329999999998</v>
      </c>
      <c r="F5" s="26" t="e">
        <f>(E5/#REF!)*100</f>
        <v>#REF!</v>
      </c>
      <c r="G5" s="26">
        <f>(E5/D5)*100</f>
        <v>64.382912500000003</v>
      </c>
      <c r="H5"/>
      <c r="I5" s="594">
        <v>80</v>
      </c>
    </row>
    <row r="6" spans="1:9" s="72" customFormat="1">
      <c r="A6" s="81"/>
      <c r="B6" s="18" t="s">
        <v>10</v>
      </c>
      <c r="D6" s="441">
        <f>D5</f>
        <v>80</v>
      </c>
      <c r="E6" s="442">
        <f>E5</f>
        <v>51.506329999999998</v>
      </c>
      <c r="F6" s="443" t="e">
        <f>(E6/#REF!)*100</f>
        <v>#REF!</v>
      </c>
      <c r="G6" s="443">
        <f>(E6/D6)*100</f>
        <v>64.382912500000003</v>
      </c>
      <c r="H6"/>
      <c r="I6" s="595">
        <f>SUM(I5)</f>
        <v>80</v>
      </c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42.75" customHeight="1">
      <c r="A4" s="75" t="s">
        <v>313</v>
      </c>
      <c r="B4" s="488" t="s">
        <v>700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>
      <c r="A5" s="75" t="s">
        <v>508</v>
      </c>
      <c r="B5" s="11" t="s">
        <v>509</v>
      </c>
      <c r="D5" s="13">
        <v>600</v>
      </c>
      <c r="E5" s="14">
        <v>369.935</v>
      </c>
      <c r="F5" s="26" t="e">
        <f>(E5/#REF!)*100</f>
        <v>#REF!</v>
      </c>
      <c r="G5" s="26">
        <f>(E5/D5)*100</f>
        <v>61.655833333333334</v>
      </c>
      <c r="H5"/>
      <c r="I5" s="594">
        <v>600</v>
      </c>
    </row>
    <row r="6" spans="1:9">
      <c r="B6" s="401" t="s">
        <v>10</v>
      </c>
      <c r="D6" s="19">
        <f>SUM(D5)</f>
        <v>600</v>
      </c>
      <c r="E6" s="20">
        <f>SUM(E5)</f>
        <v>369.935</v>
      </c>
      <c r="F6" s="18" t="e">
        <f>(E6/#REF!)*100</f>
        <v>#REF!</v>
      </c>
      <c r="G6" s="18">
        <f>(E6/D6)*100</f>
        <v>61.655833333333334</v>
      </c>
      <c r="H6"/>
      <c r="I6" s="595">
        <f>SUM(I5)</f>
        <v>600</v>
      </c>
    </row>
    <row r="7" spans="1:9" ht="17.25" customHeight="1">
      <c r="B7" s="4"/>
      <c r="D7" s="5"/>
      <c r="E7" s="6"/>
      <c r="F7" s="6"/>
      <c r="G7" s="395"/>
      <c r="H7"/>
    </row>
    <row r="8" spans="1:9" ht="17.25" customHeight="1">
      <c r="B8" s="4"/>
      <c r="D8" s="5"/>
      <c r="E8" s="6"/>
      <c r="F8" s="6"/>
      <c r="G8" s="395"/>
      <c r="H8"/>
    </row>
    <row r="9" spans="1:9" ht="42.75" customHeight="1">
      <c r="A9" s="75" t="s">
        <v>313</v>
      </c>
      <c r="B9" s="488" t="s">
        <v>701</v>
      </c>
      <c r="D9" s="9" t="s">
        <v>315</v>
      </c>
      <c r="E9" s="10" t="s">
        <v>316</v>
      </c>
      <c r="F9" s="10" t="s">
        <v>309</v>
      </c>
      <c r="G9" s="396" t="s">
        <v>7</v>
      </c>
      <c r="H9"/>
      <c r="I9" s="588" t="s">
        <v>707</v>
      </c>
    </row>
    <row r="10" spans="1:9">
      <c r="A10" s="75" t="s">
        <v>508</v>
      </c>
      <c r="B10" s="11" t="s">
        <v>510</v>
      </c>
      <c r="D10" s="13">
        <v>200000</v>
      </c>
      <c r="E10" s="14">
        <v>94961.453720000005</v>
      </c>
      <c r="F10" s="26"/>
      <c r="G10" s="26">
        <f>(E10/D10)*100</f>
        <v>47.480726859999997</v>
      </c>
      <c r="H10"/>
      <c r="I10" s="594"/>
    </row>
    <row r="11" spans="1:9">
      <c r="B11" s="401" t="s">
        <v>10</v>
      </c>
      <c r="D11" s="19">
        <f>SUM(D10)</f>
        <v>200000</v>
      </c>
      <c r="E11" s="76">
        <f>SUM(E10)</f>
        <v>94961.453720000005</v>
      </c>
      <c r="F11" s="18"/>
      <c r="G11" s="18">
        <f>(E11/D11)*100</f>
        <v>47.480726859999997</v>
      </c>
      <c r="H11"/>
      <c r="I11" s="595">
        <f>SUM(I10)</f>
        <v>0</v>
      </c>
    </row>
    <row r="12" spans="1:9" ht="17.25" customHeight="1">
      <c r="B12" s="4"/>
      <c r="D12" s="5"/>
      <c r="E12" s="6"/>
      <c r="F12" s="6"/>
      <c r="G12" s="395"/>
      <c r="H12"/>
    </row>
    <row r="13" spans="1:9" ht="17.25" customHeight="1">
      <c r="B13" s="18" t="s">
        <v>10</v>
      </c>
      <c r="D13" s="5"/>
      <c r="E13" s="6"/>
      <c r="F13" s="6"/>
      <c r="G13" s="395"/>
      <c r="H13"/>
      <c r="I13" s="597">
        <f>I11+I6</f>
        <v>600</v>
      </c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9" ht="15.75">
      <c r="B1" s="1"/>
      <c r="D1" s="387"/>
      <c r="E1" s="3"/>
      <c r="F1" s="3"/>
      <c r="G1" s="394"/>
      <c r="H1" s="394"/>
    </row>
    <row r="2" spans="1:9" ht="17.25" customHeight="1">
      <c r="A2" s="580" t="s">
        <v>673</v>
      </c>
      <c r="B2" s="4"/>
      <c r="D2" s="5"/>
      <c r="E2" s="6"/>
      <c r="F2" s="6"/>
      <c r="G2" s="395"/>
      <c r="H2" s="395"/>
    </row>
    <row r="3" spans="1:9" ht="17.25" customHeight="1">
      <c r="B3" s="4"/>
      <c r="D3" s="5"/>
      <c r="E3" s="6"/>
      <c r="F3" s="6"/>
      <c r="G3" s="395"/>
      <c r="H3" s="395"/>
    </row>
    <row r="4" spans="1:9" ht="39" customHeight="1">
      <c r="A4" s="75" t="s">
        <v>313</v>
      </c>
      <c r="B4" s="488" t="s">
        <v>703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9" s="72" customFormat="1">
      <c r="A5" s="75" t="s">
        <v>505</v>
      </c>
      <c r="B5" s="27" t="s">
        <v>336</v>
      </c>
      <c r="D5" s="70">
        <v>9036.0499999999993</v>
      </c>
      <c r="E5" s="71">
        <v>8196.5149299999994</v>
      </c>
      <c r="F5" s="26" t="e">
        <f>(E5/#REF!)*100</f>
        <v>#REF!</v>
      </c>
      <c r="G5" s="26">
        <f>(E5/D5)*100</f>
        <v>90.709047980035535</v>
      </c>
      <c r="H5"/>
      <c r="I5" s="594">
        <v>2000</v>
      </c>
    </row>
    <row r="6" spans="1:9">
      <c r="B6" s="401" t="s">
        <v>10</v>
      </c>
      <c r="D6" s="19">
        <f>D5</f>
        <v>9036.0499999999993</v>
      </c>
      <c r="E6" s="20">
        <f>E5</f>
        <v>8196.5149299999994</v>
      </c>
      <c r="F6" s="18" t="e">
        <f>(E6/#REF!)*100</f>
        <v>#REF!</v>
      </c>
      <c r="G6" s="18">
        <f>(E6/D6)*100</f>
        <v>90.709047980035535</v>
      </c>
      <c r="H6"/>
      <c r="I6" s="595">
        <f>SUM(I5)</f>
        <v>2000</v>
      </c>
    </row>
    <row r="7" spans="1:9" s="72" customFormat="1">
      <c r="A7" s="75"/>
      <c r="B7" s="444"/>
      <c r="D7" s="446"/>
      <c r="E7" s="447"/>
      <c r="F7" s="438"/>
      <c r="G7" s="438"/>
      <c r="H7"/>
      <c r="I7" s="500"/>
    </row>
    <row r="8" spans="1:9" s="72" customFormat="1" ht="25.5">
      <c r="A8" s="75" t="s">
        <v>505</v>
      </c>
      <c r="B8" s="485" t="s">
        <v>628</v>
      </c>
      <c r="D8" s="70">
        <v>9036.0499999999993</v>
      </c>
      <c r="E8" s="71">
        <v>8196.5149299999994</v>
      </c>
      <c r="F8" s="26" t="e">
        <f>(E8/#REF!)*100</f>
        <v>#REF!</v>
      </c>
      <c r="G8" s="26">
        <f>(E8/D8)*100</f>
        <v>90.709047980035535</v>
      </c>
      <c r="H8"/>
      <c r="I8" s="594"/>
    </row>
    <row r="9" spans="1:9">
      <c r="B9" s="401" t="s">
        <v>10</v>
      </c>
      <c r="D9" s="19">
        <f>D8</f>
        <v>9036.0499999999993</v>
      </c>
      <c r="E9" s="20">
        <f>E8</f>
        <v>8196.5149299999994</v>
      </c>
      <c r="F9" s="18" t="e">
        <f>(E9/#REF!)*100</f>
        <v>#REF!</v>
      </c>
      <c r="G9" s="18">
        <f>(E9/D9)*100</f>
        <v>90.709047980035535</v>
      </c>
      <c r="H9"/>
      <c r="I9" s="595">
        <f>SUM(I8)</f>
        <v>0</v>
      </c>
    </row>
    <row r="10" spans="1:9" s="72" customFormat="1">
      <c r="A10" s="81"/>
      <c r="B10" s="41"/>
      <c r="D10" s="42"/>
      <c r="E10" s="417"/>
      <c r="F10" s="41"/>
      <c r="G10" s="41"/>
      <c r="I10" s="596"/>
    </row>
    <row r="11" spans="1:9" ht="17.25" customHeight="1">
      <c r="B11" s="18" t="s">
        <v>10</v>
      </c>
      <c r="D11" s="5"/>
      <c r="E11" s="6"/>
      <c r="F11" s="6"/>
      <c r="G11" s="395"/>
      <c r="H11"/>
      <c r="I11" s="597">
        <f>I9+I6</f>
        <v>2000</v>
      </c>
    </row>
    <row r="12" spans="1:9" ht="17.25" customHeight="1">
      <c r="B12" s="4"/>
      <c r="D12" s="5"/>
      <c r="E12" s="6"/>
      <c r="F12" s="6"/>
      <c r="G12" s="395"/>
      <c r="H12"/>
    </row>
    <row r="13" spans="1:9" ht="17.25" customHeight="1">
      <c r="B13" s="4"/>
      <c r="D13" s="5"/>
      <c r="E13" s="6"/>
      <c r="F13" s="6"/>
      <c r="G13" s="395"/>
      <c r="H13"/>
    </row>
    <row r="27" spans="2:2">
      <c r="B27">
        <f>6882-10109</f>
        <v>-3227</v>
      </c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6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13" ht="15.75">
      <c r="B1" s="1"/>
      <c r="D1" s="387"/>
      <c r="E1" s="3"/>
      <c r="F1" s="3"/>
      <c r="G1" s="394"/>
      <c r="H1" s="394"/>
    </row>
    <row r="2" spans="1:13" ht="17.25" customHeight="1">
      <c r="A2" s="580" t="s">
        <v>673</v>
      </c>
      <c r="B2" s="4"/>
      <c r="D2" s="5"/>
      <c r="E2" s="6"/>
      <c r="F2" s="6"/>
      <c r="G2" s="395"/>
      <c r="H2" s="395"/>
    </row>
    <row r="3" spans="1:13" ht="17.25" customHeight="1">
      <c r="B3" s="4"/>
      <c r="D3" s="5"/>
      <c r="E3" s="6"/>
      <c r="F3" s="6"/>
      <c r="G3" s="395"/>
      <c r="H3" s="395"/>
    </row>
    <row r="4" spans="1:13" s="579" customFormat="1" ht="42.75" customHeight="1">
      <c r="A4" s="75" t="s">
        <v>313</v>
      </c>
      <c r="B4" s="488" t="s">
        <v>311</v>
      </c>
      <c r="C4"/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  <c r="J4"/>
      <c r="K4"/>
      <c r="L4"/>
      <c r="M4"/>
    </row>
    <row r="5" spans="1:13" s="579" customFormat="1" ht="25.5">
      <c r="A5" s="75" t="s">
        <v>520</v>
      </c>
      <c r="B5" s="471" t="s">
        <v>521</v>
      </c>
      <c r="C5"/>
      <c r="D5" s="23">
        <v>64.930000000000007</v>
      </c>
      <c r="E5" s="34">
        <v>64.923599999999993</v>
      </c>
      <c r="F5" s="26"/>
      <c r="G5" s="26">
        <f>(E5/D5)*100</f>
        <v>99.990143231172013</v>
      </c>
      <c r="H5"/>
      <c r="I5" s="594">
        <v>14.5</v>
      </c>
      <c r="J5"/>
      <c r="K5"/>
      <c r="L5"/>
      <c r="M5"/>
    </row>
    <row r="6" spans="1:13" s="579" customFormat="1">
      <c r="A6" s="2"/>
      <c r="B6" s="18" t="s">
        <v>10</v>
      </c>
      <c r="C6"/>
      <c r="D6" s="19">
        <f>SUM(D5)</f>
        <v>64.930000000000007</v>
      </c>
      <c r="E6" s="20">
        <f>SUM(E5)</f>
        <v>64.923599999999993</v>
      </c>
      <c r="F6" s="18"/>
      <c r="G6" s="18">
        <f>(E6/D6)*100</f>
        <v>99.990143231172013</v>
      </c>
      <c r="H6"/>
      <c r="I6" s="595">
        <f>SUM(I5)</f>
        <v>14.5</v>
      </c>
      <c r="J6"/>
      <c r="K6"/>
      <c r="L6"/>
      <c r="M6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13" ht="15.75">
      <c r="B1" s="1"/>
      <c r="D1" s="387"/>
      <c r="E1" s="3"/>
      <c r="F1" s="3"/>
      <c r="G1" s="394"/>
      <c r="H1" s="394"/>
    </row>
    <row r="2" spans="1:13" ht="17.25" customHeight="1">
      <c r="A2" s="580" t="s">
        <v>673</v>
      </c>
      <c r="B2" s="4"/>
      <c r="D2" s="5"/>
      <c r="E2" s="6"/>
      <c r="F2" s="6"/>
      <c r="G2" s="395"/>
      <c r="H2" s="395"/>
    </row>
    <row r="3" spans="1:13" ht="17.25" customHeight="1">
      <c r="B3" s="4"/>
      <c r="D3" s="5"/>
      <c r="E3" s="6"/>
      <c r="F3" s="6"/>
      <c r="G3" s="395"/>
      <c r="H3" s="395"/>
    </row>
    <row r="4" spans="1:13" ht="39.75" customHeight="1">
      <c r="A4" s="75" t="s">
        <v>313</v>
      </c>
      <c r="B4" s="488" t="s">
        <v>704</v>
      </c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</row>
    <row r="5" spans="1:13" ht="25.5" customHeight="1">
      <c r="A5" s="75" t="s">
        <v>512</v>
      </c>
      <c r="B5" s="433" t="s">
        <v>513</v>
      </c>
      <c r="D5" s="23">
        <v>83</v>
      </c>
      <c r="E5" s="34">
        <v>82.103999999999999</v>
      </c>
      <c r="F5" s="26" t="e">
        <f>(E5/#REF!)*100</f>
        <v>#REF!</v>
      </c>
      <c r="G5" s="26">
        <f>(E5/D5)*100</f>
        <v>98.920481927710853</v>
      </c>
      <c r="H5"/>
      <c r="I5" s="622">
        <v>185</v>
      </c>
    </row>
    <row r="6" spans="1:13" s="579" customFormat="1" ht="14.25" customHeight="1">
      <c r="A6" s="2"/>
      <c r="B6" s="18" t="s">
        <v>10</v>
      </c>
      <c r="C6"/>
      <c r="D6" s="19">
        <f>SUM(D5)</f>
        <v>83</v>
      </c>
      <c r="E6" s="20">
        <f>SUM(E5)</f>
        <v>82.103999999999999</v>
      </c>
      <c r="F6" s="18" t="e">
        <f>(E6/#REF!)*100</f>
        <v>#REF!</v>
      </c>
      <c r="G6" s="18">
        <f>(E6/D6)*100</f>
        <v>98.920481927710853</v>
      </c>
      <c r="H6"/>
      <c r="I6" s="595">
        <f>SUM(I5)</f>
        <v>185</v>
      </c>
      <c r="J6"/>
      <c r="K6"/>
      <c r="L6"/>
      <c r="M6"/>
    </row>
    <row r="7" spans="1:13" s="579" customFormat="1" ht="17.25" customHeight="1">
      <c r="A7" s="2"/>
      <c r="B7" s="4"/>
      <c r="C7"/>
      <c r="D7" s="5"/>
      <c r="E7" s="6"/>
      <c r="F7" s="6"/>
      <c r="G7" s="395"/>
      <c r="H7"/>
      <c r="J7"/>
      <c r="K7"/>
      <c r="L7"/>
      <c r="M7"/>
    </row>
    <row r="8" spans="1:13" s="579" customFormat="1" ht="17.25" customHeight="1">
      <c r="A8" s="2"/>
      <c r="B8" s="4"/>
      <c r="C8"/>
      <c r="D8" s="5"/>
      <c r="E8" s="6"/>
      <c r="F8" s="6"/>
      <c r="G8" s="395"/>
      <c r="H8"/>
      <c r="J8"/>
      <c r="K8"/>
      <c r="L8"/>
      <c r="M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8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.85546875" hidden="1" customWidth="1"/>
    <col min="4" max="4" width="14" style="85" hidden="1" customWidth="1"/>
    <col min="5" max="6" width="11.5703125" style="84" hidden="1" customWidth="1"/>
    <col min="7" max="7" width="13.28515625" style="458" hidden="1" customWidth="1"/>
    <col min="8" max="8" width="2.28515625" style="458" customWidth="1"/>
    <col min="9" max="9" width="17" style="579" customWidth="1"/>
    <col min="10" max="10" width="2" customWidth="1"/>
    <col min="11" max="11" width="10.42578125" bestFit="1" customWidth="1"/>
    <col min="12" max="12" width="10.5703125" customWidth="1"/>
  </cols>
  <sheetData>
    <row r="1" spans="1:13" ht="15.75">
      <c r="B1" s="1"/>
      <c r="D1" s="387"/>
      <c r="E1" s="3"/>
      <c r="F1" s="3"/>
      <c r="G1" s="394"/>
      <c r="H1" s="394"/>
    </row>
    <row r="2" spans="1:13" ht="17.25" customHeight="1">
      <c r="A2" s="580" t="s">
        <v>673</v>
      </c>
      <c r="B2" s="4"/>
      <c r="D2" s="5"/>
      <c r="E2" s="6"/>
      <c r="F2" s="6"/>
      <c r="G2" s="395"/>
      <c r="H2" s="395"/>
    </row>
    <row r="3" spans="1:13" ht="17.25" customHeight="1">
      <c r="B3" s="4"/>
      <c r="D3" s="5"/>
      <c r="E3" s="6"/>
      <c r="F3" s="6"/>
      <c r="G3" s="395"/>
      <c r="H3" s="395"/>
    </row>
    <row r="4" spans="1:13" s="579" customFormat="1" ht="39" customHeight="1">
      <c r="A4" s="75" t="s">
        <v>313</v>
      </c>
      <c r="B4" s="488" t="s">
        <v>514</v>
      </c>
      <c r="C4"/>
      <c r="D4" s="9" t="s">
        <v>315</v>
      </c>
      <c r="E4" s="10" t="s">
        <v>316</v>
      </c>
      <c r="F4" s="10" t="s">
        <v>309</v>
      </c>
      <c r="G4" s="396" t="s">
        <v>7</v>
      </c>
      <c r="H4"/>
      <c r="I4" s="588" t="s">
        <v>707</v>
      </c>
      <c r="J4"/>
      <c r="K4"/>
      <c r="L4"/>
      <c r="M4"/>
    </row>
    <row r="5" spans="1:13" s="579" customFormat="1" ht="35.25" customHeight="1">
      <c r="A5" s="75" t="s">
        <v>515</v>
      </c>
      <c r="B5" s="471" t="s">
        <v>705</v>
      </c>
      <c r="C5"/>
      <c r="D5" s="23">
        <v>50</v>
      </c>
      <c r="E5" s="34"/>
      <c r="F5" s="26" t="e">
        <f>(E5/#REF!)*100</f>
        <v>#REF!</v>
      </c>
      <c r="G5" s="26">
        <f>(E5/D5)*100</f>
        <v>0</v>
      </c>
      <c r="H5"/>
      <c r="I5" s="622">
        <v>50</v>
      </c>
      <c r="J5"/>
      <c r="K5"/>
      <c r="L5"/>
      <c r="M5"/>
    </row>
    <row r="6" spans="1:13" s="579" customFormat="1">
      <c r="A6" s="75" t="s">
        <v>517</v>
      </c>
      <c r="B6" s="11" t="s">
        <v>518</v>
      </c>
      <c r="C6"/>
      <c r="D6" s="23">
        <v>50</v>
      </c>
      <c r="E6" s="34"/>
      <c r="F6" s="26" t="e">
        <f>(E6/#REF!)*100</f>
        <v>#REF!</v>
      </c>
      <c r="G6" s="26">
        <f>(E6/D6)*100</f>
        <v>0</v>
      </c>
      <c r="H6"/>
      <c r="I6" s="594">
        <v>50</v>
      </c>
      <c r="J6"/>
      <c r="K6"/>
      <c r="L6"/>
      <c r="M6"/>
    </row>
    <row r="7" spans="1:13" s="579" customFormat="1">
      <c r="A7" s="75" t="s">
        <v>481</v>
      </c>
      <c r="B7" s="11" t="s">
        <v>519</v>
      </c>
      <c r="C7"/>
      <c r="D7" s="13">
        <v>150</v>
      </c>
      <c r="E7" s="14"/>
      <c r="F7" s="26" t="e">
        <f>(E7/#REF!)*100</f>
        <v>#REF!</v>
      </c>
      <c r="G7" s="26">
        <f>(E7/D7)*100</f>
        <v>0</v>
      </c>
      <c r="H7"/>
      <c r="I7" s="594">
        <v>150</v>
      </c>
      <c r="J7"/>
      <c r="K7"/>
      <c r="L7"/>
      <c r="M7"/>
    </row>
    <row r="8" spans="1:13" s="579" customFormat="1">
      <c r="A8" s="2"/>
      <c r="B8" s="18" t="s">
        <v>10</v>
      </c>
      <c r="C8"/>
      <c r="D8" s="19">
        <f>SUM(D5:D7)</f>
        <v>250</v>
      </c>
      <c r="E8" s="20">
        <f>SUM(E5:E7)</f>
        <v>0</v>
      </c>
      <c r="F8" s="18" t="e">
        <f>(E8/#REF!)*100</f>
        <v>#REF!</v>
      </c>
      <c r="G8" s="18">
        <f>(E8/D8)*100</f>
        <v>0</v>
      </c>
      <c r="H8"/>
      <c r="I8" s="595">
        <f>SUM(I5:I7)</f>
        <v>250</v>
      </c>
      <c r="J8"/>
      <c r="K8"/>
      <c r="L8"/>
      <c r="M8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87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4" width="14" style="85" customWidth="1"/>
    <col min="5" max="15" width="11.5703125" style="84" hidden="1" customWidth="1"/>
    <col min="16" max="17" width="11.5703125" style="84" customWidth="1"/>
    <col min="18" max="18" width="13.28515625" style="458" customWidth="1"/>
    <col min="19" max="19" width="14.85546875" customWidth="1"/>
    <col min="20" max="20" width="10.5703125" customWidth="1"/>
  </cols>
  <sheetData>
    <row r="1" spans="1:20" ht="15.75">
      <c r="B1" s="1"/>
      <c r="C1" s="505"/>
      <c r="D1" s="5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94"/>
    </row>
    <row r="2" spans="1:20" ht="17.25" customHeight="1">
      <c r="A2" s="580" t="s">
        <v>673</v>
      </c>
      <c r="B2" s="4" t="s">
        <v>598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95"/>
    </row>
    <row r="3" spans="1:20" ht="17.25" customHeight="1"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95"/>
    </row>
    <row r="4" spans="1:20" ht="43.5" customHeight="1">
      <c r="A4" s="75" t="s">
        <v>313</v>
      </c>
      <c r="B4" s="490" t="s">
        <v>585</v>
      </c>
      <c r="C4" s="507" t="s">
        <v>524</v>
      </c>
      <c r="D4" s="508" t="s">
        <v>315</v>
      </c>
      <c r="E4" s="393" t="s">
        <v>523</v>
      </c>
      <c r="F4" s="393" t="s">
        <v>525</v>
      </c>
      <c r="G4" s="460" t="s">
        <v>534</v>
      </c>
      <c r="H4" s="393" t="s">
        <v>526</v>
      </c>
      <c r="I4" s="460" t="s">
        <v>535</v>
      </c>
      <c r="J4" s="393" t="s">
        <v>527</v>
      </c>
      <c r="K4" s="460" t="s">
        <v>536</v>
      </c>
      <c r="L4" s="393" t="s">
        <v>528</v>
      </c>
      <c r="M4" s="460" t="s">
        <v>537</v>
      </c>
      <c r="N4" s="393" t="s">
        <v>529</v>
      </c>
      <c r="O4" s="460" t="s">
        <v>538</v>
      </c>
      <c r="P4" s="393" t="s">
        <v>543</v>
      </c>
      <c r="Q4" s="492"/>
      <c r="R4" s="493"/>
      <c r="T4" s="497"/>
    </row>
    <row r="5" spans="1:20" ht="79.5" customHeight="1">
      <c r="A5" s="2" t="s">
        <v>563</v>
      </c>
      <c r="B5" s="491" t="e">
        <f>'2212'!#REF!</f>
        <v>#REF!</v>
      </c>
      <c r="C5" s="23" t="e">
        <f>'2212'!#REF!</f>
        <v>#REF!</v>
      </c>
      <c r="D5" s="23" t="e">
        <f>'2212'!#REF!</f>
        <v>#REF!</v>
      </c>
      <c r="E5" s="25">
        <v>169.4</v>
      </c>
      <c r="F5" s="34">
        <v>171.9</v>
      </c>
      <c r="G5" s="34">
        <f>F5-E5</f>
        <v>2.5</v>
      </c>
      <c r="H5" s="34">
        <v>1420.6041700000001</v>
      </c>
      <c r="I5" s="34">
        <f>H5-F5</f>
        <v>1248.70417</v>
      </c>
      <c r="J5" s="23">
        <v>1420.6041700000001</v>
      </c>
      <c r="K5" s="23">
        <f>J5-H5</f>
        <v>0</v>
      </c>
      <c r="L5" s="23">
        <v>1420.6041700000001</v>
      </c>
      <c r="M5" s="34">
        <f>L5-J5</f>
        <v>0</v>
      </c>
      <c r="N5" s="34">
        <v>1444.8041700000001</v>
      </c>
      <c r="O5" s="34">
        <f>N5-L5</f>
        <v>24.200000000000045</v>
      </c>
      <c r="P5" s="25" t="e">
        <f>'2212'!#REF!</f>
        <v>#REF!</v>
      </c>
      <c r="Q5" s="494"/>
      <c r="R5" s="494"/>
      <c r="T5" s="497"/>
    </row>
    <row r="6" spans="1:20" ht="14.25" customHeight="1">
      <c r="B6" s="41" t="s">
        <v>10</v>
      </c>
      <c r="C6" s="554" t="e">
        <f>C5</f>
        <v>#REF!</v>
      </c>
      <c r="D6" s="554" t="e">
        <f>D5</f>
        <v>#REF!</v>
      </c>
      <c r="E6" s="76">
        <f>SUM(E5)</f>
        <v>169.4</v>
      </c>
      <c r="F6" s="530">
        <f t="shared" ref="F6:O6" si="0">SUM(F5)</f>
        <v>171.9</v>
      </c>
      <c r="G6" s="530">
        <f t="shared" si="0"/>
        <v>2.5</v>
      </c>
      <c r="H6" s="530">
        <f t="shared" si="0"/>
        <v>1420.6041700000001</v>
      </c>
      <c r="I6" s="530">
        <f t="shared" si="0"/>
        <v>1248.70417</v>
      </c>
      <c r="J6" s="530">
        <f t="shared" si="0"/>
        <v>1420.6041700000001</v>
      </c>
      <c r="K6" s="530">
        <f t="shared" si="0"/>
        <v>0</v>
      </c>
      <c r="L6" s="530">
        <f t="shared" si="0"/>
        <v>1420.6041700000001</v>
      </c>
      <c r="M6" s="530">
        <f t="shared" si="0"/>
        <v>0</v>
      </c>
      <c r="N6" s="530">
        <f t="shared" si="0"/>
        <v>1444.8041700000001</v>
      </c>
      <c r="O6" s="530">
        <f t="shared" si="0"/>
        <v>24.200000000000045</v>
      </c>
      <c r="P6" s="530" t="e">
        <f>SUM(P5)</f>
        <v>#REF!</v>
      </c>
      <c r="Q6" s="41"/>
      <c r="R6" s="41"/>
      <c r="T6" s="417"/>
    </row>
    <row r="7" spans="1:20" ht="14.25" customHeight="1">
      <c r="B7" s="41"/>
      <c r="C7" s="554"/>
      <c r="D7" s="554"/>
      <c r="E7" s="76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41"/>
      <c r="R7" s="41"/>
      <c r="T7" s="417"/>
    </row>
    <row r="8" spans="1:20" ht="17.25" customHeight="1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95"/>
    </row>
    <row r="9" spans="1:20" ht="43.5" customHeight="1">
      <c r="A9" s="75" t="s">
        <v>313</v>
      </c>
      <c r="B9" s="490" t="s">
        <v>562</v>
      </c>
      <c r="C9" s="507" t="s">
        <v>524</v>
      </c>
      <c r="D9" s="508" t="s">
        <v>315</v>
      </c>
      <c r="E9" s="393" t="s">
        <v>523</v>
      </c>
      <c r="F9" s="393" t="s">
        <v>525</v>
      </c>
      <c r="G9" s="460" t="s">
        <v>534</v>
      </c>
      <c r="H9" s="393" t="s">
        <v>526</v>
      </c>
      <c r="I9" s="460" t="s">
        <v>535</v>
      </c>
      <c r="J9" s="393" t="s">
        <v>527</v>
      </c>
      <c r="K9" s="460" t="s">
        <v>536</v>
      </c>
      <c r="L9" s="393" t="s">
        <v>528</v>
      </c>
      <c r="M9" s="460" t="s">
        <v>537</v>
      </c>
      <c r="N9" s="393" t="s">
        <v>529</v>
      </c>
      <c r="O9" s="460" t="s">
        <v>538</v>
      </c>
      <c r="P9" s="393" t="s">
        <v>543</v>
      </c>
      <c r="Q9" s="492"/>
      <c r="R9" s="493"/>
      <c r="T9" s="497"/>
    </row>
    <row r="10" spans="1:20" ht="54.75" customHeight="1">
      <c r="A10" s="2" t="s">
        <v>564</v>
      </c>
      <c r="B10" s="491" t="str">
        <f>'2219'!B5</f>
        <v>6121  
Úprava povrchu chodníků - Náměstí u kostela
Bezbariérové chodníky
Bezbariérové chodníky - 2.etapa</v>
      </c>
      <c r="C10" s="23">
        <f>'2219'!C5</f>
        <v>8120</v>
      </c>
      <c r="D10" s="23">
        <f>'2219'!D5</f>
        <v>12170</v>
      </c>
      <c r="E10" s="25">
        <v>51.728000000000002</v>
      </c>
      <c r="F10" s="34">
        <v>2020.61573</v>
      </c>
      <c r="G10" s="34">
        <f>F10-E10</f>
        <v>1968.8877299999999</v>
      </c>
      <c r="H10" s="34">
        <v>3816.4407200000001</v>
      </c>
      <c r="I10" s="34">
        <f>H10-F10</f>
        <v>1795.8249900000001</v>
      </c>
      <c r="J10" s="23">
        <v>3816.4407200000001</v>
      </c>
      <c r="K10" s="25">
        <f>J10-H10</f>
        <v>0</v>
      </c>
      <c r="L10" s="34">
        <v>6140.4066499999999</v>
      </c>
      <c r="M10" s="34">
        <f>L10-J10</f>
        <v>2323.9659299999998</v>
      </c>
      <c r="N10" s="34">
        <v>6155.9203500000003</v>
      </c>
      <c r="O10" s="34">
        <f>N10-L10</f>
        <v>15.513700000000426</v>
      </c>
      <c r="P10" s="25">
        <f>'2219'!Y5</f>
        <v>10879.88067</v>
      </c>
      <c r="Q10" s="494"/>
      <c r="R10" s="494"/>
      <c r="T10" s="497"/>
    </row>
    <row r="11" spans="1:20" ht="14.25" customHeight="1">
      <c r="B11" s="41" t="s">
        <v>10</v>
      </c>
      <c r="C11" s="42">
        <f>C10</f>
        <v>8120</v>
      </c>
      <c r="D11" s="42">
        <f>D10</f>
        <v>12170</v>
      </c>
      <c r="E11" s="417">
        <f>SUM(E10)</f>
        <v>51.728000000000002</v>
      </c>
      <c r="F11" s="530">
        <f t="shared" ref="F11:O11" si="1">SUM(F10)</f>
        <v>2020.61573</v>
      </c>
      <c r="G11" s="417">
        <f t="shared" si="1"/>
        <v>1968.8877299999999</v>
      </c>
      <c r="H11" s="417">
        <f t="shared" si="1"/>
        <v>3816.4407200000001</v>
      </c>
      <c r="I11" s="417">
        <f t="shared" si="1"/>
        <v>1795.8249900000001</v>
      </c>
      <c r="J11" s="530">
        <f t="shared" si="1"/>
        <v>3816.4407200000001</v>
      </c>
      <c r="K11" s="530">
        <f t="shared" si="1"/>
        <v>0</v>
      </c>
      <c r="L11" s="530">
        <f t="shared" si="1"/>
        <v>6140.4066499999999</v>
      </c>
      <c r="M11" s="530">
        <f t="shared" si="1"/>
        <v>2323.9659299999998</v>
      </c>
      <c r="N11" s="530">
        <f t="shared" si="1"/>
        <v>6155.9203500000003</v>
      </c>
      <c r="O11" s="417">
        <f t="shared" si="1"/>
        <v>15.513700000000426</v>
      </c>
      <c r="P11" s="530">
        <f>SUM(P10)</f>
        <v>10879.88067</v>
      </c>
      <c r="Q11" s="41"/>
      <c r="R11" s="41"/>
      <c r="T11" s="417"/>
    </row>
    <row r="12" spans="1:20" ht="17.25" customHeight="1">
      <c r="B12" s="4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95"/>
    </row>
    <row r="13" spans="1:20" ht="17.25" customHeight="1">
      <c r="B13" s="4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95"/>
    </row>
    <row r="14" spans="1:20" ht="43.5" customHeight="1">
      <c r="A14" s="75" t="s">
        <v>313</v>
      </c>
      <c r="B14" s="490" t="s">
        <v>569</v>
      </c>
      <c r="C14" s="507" t="s">
        <v>524</v>
      </c>
      <c r="D14" s="508" t="s">
        <v>315</v>
      </c>
      <c r="E14" s="393" t="s">
        <v>523</v>
      </c>
      <c r="F14" s="393" t="s">
        <v>525</v>
      </c>
      <c r="G14" s="460" t="s">
        <v>534</v>
      </c>
      <c r="H14" s="393" t="s">
        <v>526</v>
      </c>
      <c r="I14" s="460" t="s">
        <v>535</v>
      </c>
      <c r="J14" s="393" t="s">
        <v>527</v>
      </c>
      <c r="K14" s="460" t="s">
        <v>536</v>
      </c>
      <c r="L14" s="393" t="s">
        <v>528</v>
      </c>
      <c r="M14" s="460" t="s">
        <v>537</v>
      </c>
      <c r="N14" s="393" t="s">
        <v>529</v>
      </c>
      <c r="O14" s="460" t="s">
        <v>538</v>
      </c>
      <c r="P14" s="393" t="s">
        <v>543</v>
      </c>
      <c r="Q14" s="492"/>
      <c r="R14" s="493"/>
      <c r="T14" s="497"/>
    </row>
    <row r="15" spans="1:20" ht="60" customHeight="1">
      <c r="A15" s="2" t="s">
        <v>596</v>
      </c>
      <c r="B15" s="491" t="e">
        <f>'2310'!#REF!</f>
        <v>#REF!</v>
      </c>
      <c r="C15" s="23" t="e">
        <f>'2310'!#REF!</f>
        <v>#REF!</v>
      </c>
      <c r="D15" s="23" t="e">
        <f>'2310'!#REF!</f>
        <v>#REF!</v>
      </c>
      <c r="E15" s="34">
        <v>0</v>
      </c>
      <c r="F15" s="34"/>
      <c r="G15" s="34"/>
      <c r="H15" s="34"/>
      <c r="I15" s="34">
        <f>H15-F15</f>
        <v>0</v>
      </c>
      <c r="J15" s="34">
        <v>24.2</v>
      </c>
      <c r="K15" s="25">
        <f>J15-H15</f>
        <v>24.2</v>
      </c>
      <c r="L15" s="34">
        <v>24.2</v>
      </c>
      <c r="M15" s="34">
        <f>L15-J15</f>
        <v>0</v>
      </c>
      <c r="N15" s="34">
        <v>24.2</v>
      </c>
      <c r="O15" s="34">
        <f>N15-L15</f>
        <v>0</v>
      </c>
      <c r="P15" s="25" t="e">
        <f>'2310'!#REF!</f>
        <v>#REF!</v>
      </c>
      <c r="Q15" s="494"/>
      <c r="R15" s="494"/>
      <c r="T15" s="497"/>
    </row>
    <row r="16" spans="1:20" ht="14.25" customHeight="1">
      <c r="B16" s="41" t="s">
        <v>10</v>
      </c>
      <c r="C16" s="42" t="e">
        <f>C15</f>
        <v>#REF!</v>
      </c>
      <c r="D16" s="42" t="e">
        <f>D15</f>
        <v>#REF!</v>
      </c>
      <c r="E16" s="417">
        <f>SUM(E15)</f>
        <v>0</v>
      </c>
      <c r="F16" s="417">
        <f t="shared" ref="F16:O16" si="2">SUM(F15)</f>
        <v>0</v>
      </c>
      <c r="G16" s="417">
        <f t="shared" si="2"/>
        <v>0</v>
      </c>
      <c r="H16" s="417">
        <f t="shared" si="2"/>
        <v>0</v>
      </c>
      <c r="I16" s="417">
        <f t="shared" si="2"/>
        <v>0</v>
      </c>
      <c r="J16" s="417">
        <f t="shared" si="2"/>
        <v>24.2</v>
      </c>
      <c r="K16" s="417">
        <f t="shared" si="2"/>
        <v>24.2</v>
      </c>
      <c r="L16" s="417">
        <f t="shared" si="2"/>
        <v>24.2</v>
      </c>
      <c r="M16" s="417">
        <f t="shared" si="2"/>
        <v>0</v>
      </c>
      <c r="N16" s="417">
        <f t="shared" si="2"/>
        <v>24.2</v>
      </c>
      <c r="O16" s="417">
        <f t="shared" si="2"/>
        <v>0</v>
      </c>
      <c r="P16" s="417" t="e">
        <f>SUM(P15)</f>
        <v>#REF!</v>
      </c>
      <c r="Q16" s="41"/>
      <c r="R16" s="41"/>
      <c r="T16" s="417"/>
    </row>
    <row r="17" spans="1:20" ht="17.25" customHeight="1">
      <c r="B17" s="4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95"/>
    </row>
    <row r="18" spans="1:20" ht="17.25" customHeight="1">
      <c r="B18" s="4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95"/>
    </row>
    <row r="19" spans="1:20" ht="43.5" customHeight="1">
      <c r="A19" s="75" t="s">
        <v>313</v>
      </c>
      <c r="B19" s="490" t="s">
        <v>570</v>
      </c>
      <c r="C19" s="507" t="s">
        <v>524</v>
      </c>
      <c r="D19" s="508" t="s">
        <v>315</v>
      </c>
      <c r="E19" s="393" t="s">
        <v>523</v>
      </c>
      <c r="F19" s="393" t="s">
        <v>525</v>
      </c>
      <c r="G19" s="460" t="s">
        <v>534</v>
      </c>
      <c r="H19" s="393" t="s">
        <v>526</v>
      </c>
      <c r="I19" s="460" t="s">
        <v>535</v>
      </c>
      <c r="J19" s="393" t="s">
        <v>527</v>
      </c>
      <c r="K19" s="460" t="s">
        <v>536</v>
      </c>
      <c r="L19" s="393" t="s">
        <v>528</v>
      </c>
      <c r="M19" s="460" t="s">
        <v>537</v>
      </c>
      <c r="N19" s="393" t="s">
        <v>529</v>
      </c>
      <c r="O19" s="460" t="s">
        <v>538</v>
      </c>
      <c r="P19" s="393" t="s">
        <v>543</v>
      </c>
      <c r="Q19" s="492"/>
      <c r="R19" s="493"/>
      <c r="T19" s="497"/>
    </row>
    <row r="20" spans="1:20" ht="91.5" customHeight="1">
      <c r="A20" s="2" t="s">
        <v>595</v>
      </c>
      <c r="B20" s="491" t="e">
        <f>'2321'!#REF!</f>
        <v>#REF!</v>
      </c>
      <c r="C20" s="23" t="e">
        <f>'2321'!#REF!</f>
        <v>#REF!</v>
      </c>
      <c r="D20" s="23" t="e">
        <f>'2321'!#REF!</f>
        <v>#REF!</v>
      </c>
      <c r="E20" s="34">
        <v>0</v>
      </c>
      <c r="F20" s="34">
        <v>457.62925999999999</v>
      </c>
      <c r="G20" s="34">
        <f>F20-E20</f>
        <v>457.62925999999999</v>
      </c>
      <c r="H20" s="34">
        <v>457.62925999999999</v>
      </c>
      <c r="I20" s="34">
        <f>H20-F20</f>
        <v>0</v>
      </c>
      <c r="J20" s="34">
        <v>479.40926000000002</v>
      </c>
      <c r="K20" s="25">
        <f>J20-H20</f>
        <v>21.78000000000003</v>
      </c>
      <c r="L20" s="34">
        <v>479.40926000000002</v>
      </c>
      <c r="M20" s="34">
        <f>L20-J20</f>
        <v>0</v>
      </c>
      <c r="N20" s="34">
        <v>482.00785999999999</v>
      </c>
      <c r="O20" s="34">
        <f>N20-L20</f>
        <v>2.5985999999999763</v>
      </c>
      <c r="P20" s="25" t="e">
        <f>'2321'!#REF!</f>
        <v>#REF!</v>
      </c>
      <c r="Q20" s="494"/>
      <c r="R20" s="494"/>
      <c r="T20" s="497"/>
    </row>
    <row r="21" spans="1:20" ht="14.25" customHeight="1">
      <c r="B21" s="41" t="s">
        <v>10</v>
      </c>
      <c r="C21" s="42" t="e">
        <f>C20</f>
        <v>#REF!</v>
      </c>
      <c r="D21" s="42" t="e">
        <f>D20</f>
        <v>#REF!</v>
      </c>
      <c r="E21" s="417">
        <f>SUM(E20)</f>
        <v>0</v>
      </c>
      <c r="F21" s="417">
        <f t="shared" ref="F21:O21" si="3">SUM(F20)</f>
        <v>457.62925999999999</v>
      </c>
      <c r="G21" s="417">
        <f t="shared" si="3"/>
        <v>457.62925999999999</v>
      </c>
      <c r="H21" s="417">
        <f t="shared" si="3"/>
        <v>457.62925999999999</v>
      </c>
      <c r="I21" s="417">
        <f t="shared" si="3"/>
        <v>0</v>
      </c>
      <c r="J21" s="417">
        <f t="shared" si="3"/>
        <v>479.40926000000002</v>
      </c>
      <c r="K21" s="417">
        <f t="shared" si="3"/>
        <v>21.78000000000003</v>
      </c>
      <c r="L21" s="417">
        <f t="shared" si="3"/>
        <v>479.40926000000002</v>
      </c>
      <c r="M21" s="417">
        <f t="shared" si="3"/>
        <v>0</v>
      </c>
      <c r="N21" s="417">
        <f t="shared" si="3"/>
        <v>482.00785999999999</v>
      </c>
      <c r="O21" s="417">
        <f t="shared" si="3"/>
        <v>2.5985999999999763</v>
      </c>
      <c r="P21" s="530" t="e">
        <f>SUM(P20)</f>
        <v>#REF!</v>
      </c>
      <c r="Q21" s="41"/>
      <c r="R21" s="41"/>
      <c r="T21" s="417"/>
    </row>
    <row r="22" spans="1:20" ht="17.25" customHeight="1">
      <c r="B22" s="4"/>
      <c r="C22" s="5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95"/>
    </row>
    <row r="23" spans="1:20" ht="17.25" customHeight="1">
      <c r="B23" s="4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95"/>
    </row>
    <row r="24" spans="1:20" ht="43.5" customHeight="1">
      <c r="A24" s="75" t="s">
        <v>313</v>
      </c>
      <c r="B24" s="490" t="s">
        <v>562</v>
      </c>
      <c r="C24" s="507" t="s">
        <v>524</v>
      </c>
      <c r="D24" s="508" t="s">
        <v>315</v>
      </c>
      <c r="E24" s="393" t="s">
        <v>523</v>
      </c>
      <c r="F24" s="393" t="s">
        <v>525</v>
      </c>
      <c r="G24" s="460" t="s">
        <v>534</v>
      </c>
      <c r="H24" s="393" t="s">
        <v>526</v>
      </c>
      <c r="I24" s="460" t="s">
        <v>535</v>
      </c>
      <c r="J24" s="393" t="s">
        <v>527</v>
      </c>
      <c r="K24" s="460" t="s">
        <v>536</v>
      </c>
      <c r="L24" s="393" t="s">
        <v>528</v>
      </c>
      <c r="M24" s="460" t="s">
        <v>537</v>
      </c>
      <c r="N24" s="393" t="s">
        <v>529</v>
      </c>
      <c r="O24" s="460" t="s">
        <v>538</v>
      </c>
      <c r="P24" s="393" t="s">
        <v>543</v>
      </c>
      <c r="Q24" s="492"/>
      <c r="R24" s="493"/>
      <c r="T24" s="497"/>
    </row>
    <row r="25" spans="1:20" ht="49.5" customHeight="1">
      <c r="A25" s="2" t="s">
        <v>603</v>
      </c>
      <c r="B25" s="491" t="e">
        <f>'3113'!#REF!</f>
        <v>#REF!</v>
      </c>
      <c r="C25" s="23" t="e">
        <f>'3113'!#REF!</f>
        <v>#REF!</v>
      </c>
      <c r="D25" s="23" t="e">
        <f>'3113'!#REF!</f>
        <v>#REF!</v>
      </c>
      <c r="E25" s="34">
        <v>41.394100000000002</v>
      </c>
      <c r="F25" s="34">
        <v>80.268199999999993</v>
      </c>
      <c r="G25" s="34">
        <f>F25-E25</f>
        <v>38.874099999999991</v>
      </c>
      <c r="H25" s="34">
        <v>80.268199999999993</v>
      </c>
      <c r="I25" s="34">
        <f>H25-F25</f>
        <v>0</v>
      </c>
      <c r="J25" s="34">
        <v>80.268199999999993</v>
      </c>
      <c r="K25" s="25">
        <f>J25-H25</f>
        <v>0</v>
      </c>
      <c r="L25" s="34">
        <v>80.268199999999993</v>
      </c>
      <c r="M25" s="34">
        <f>L25-J25</f>
        <v>0</v>
      </c>
      <c r="N25" s="34">
        <v>80.522300000000001</v>
      </c>
      <c r="O25" s="34">
        <f>N25-L25</f>
        <v>0.25410000000000821</v>
      </c>
      <c r="P25" s="25" t="e">
        <f>'3113'!#REF!</f>
        <v>#REF!</v>
      </c>
      <c r="Q25" s="494"/>
      <c r="R25" s="494"/>
      <c r="T25" s="497"/>
    </row>
    <row r="26" spans="1:20" ht="14.25" customHeight="1">
      <c r="B26" s="41" t="s">
        <v>10</v>
      </c>
      <c r="C26" s="42" t="e">
        <f>C25</f>
        <v>#REF!</v>
      </c>
      <c r="D26" s="42" t="e">
        <f>D25</f>
        <v>#REF!</v>
      </c>
      <c r="E26" s="417">
        <f>SUM(E25)</f>
        <v>41.394100000000002</v>
      </c>
      <c r="F26" s="417">
        <f t="shared" ref="F26:O26" si="4">SUM(F25)</f>
        <v>80.268199999999993</v>
      </c>
      <c r="G26" s="417">
        <f t="shared" si="4"/>
        <v>38.874099999999991</v>
      </c>
      <c r="H26" s="417">
        <f t="shared" si="4"/>
        <v>80.268199999999993</v>
      </c>
      <c r="I26" s="417">
        <f t="shared" si="4"/>
        <v>0</v>
      </c>
      <c r="J26" s="417">
        <f t="shared" si="4"/>
        <v>80.268199999999993</v>
      </c>
      <c r="K26" s="417">
        <f t="shared" si="4"/>
        <v>0</v>
      </c>
      <c r="L26" s="417">
        <f t="shared" si="4"/>
        <v>80.268199999999993</v>
      </c>
      <c r="M26" s="417">
        <f t="shared" si="4"/>
        <v>0</v>
      </c>
      <c r="N26" s="417">
        <f t="shared" si="4"/>
        <v>80.522300000000001</v>
      </c>
      <c r="O26" s="417">
        <f t="shared" si="4"/>
        <v>0.25410000000000821</v>
      </c>
      <c r="P26" s="417" t="e">
        <f>SUM(P25)</f>
        <v>#REF!</v>
      </c>
      <c r="Q26" s="41"/>
      <c r="R26" s="41"/>
      <c r="T26" s="417"/>
    </row>
    <row r="27" spans="1:20" ht="17.25" customHeight="1">
      <c r="B27" s="4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95"/>
    </row>
    <row r="28" spans="1:20" ht="17.25" customHeight="1">
      <c r="B28" s="4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95"/>
    </row>
    <row r="29" spans="1:20" ht="43.5" customHeight="1">
      <c r="A29" s="75" t="s">
        <v>313</v>
      </c>
      <c r="B29" s="490" t="s">
        <v>572</v>
      </c>
      <c r="C29" s="507" t="s">
        <v>524</v>
      </c>
      <c r="D29" s="508" t="s">
        <v>315</v>
      </c>
      <c r="E29" s="393" t="s">
        <v>523</v>
      </c>
      <c r="F29" s="393" t="s">
        <v>525</v>
      </c>
      <c r="G29" s="460" t="s">
        <v>534</v>
      </c>
      <c r="H29" s="393" t="s">
        <v>526</v>
      </c>
      <c r="I29" s="460" t="s">
        <v>535</v>
      </c>
      <c r="J29" s="393" t="s">
        <v>527</v>
      </c>
      <c r="K29" s="460" t="s">
        <v>536</v>
      </c>
      <c r="L29" s="393" t="s">
        <v>528</v>
      </c>
      <c r="M29" s="460" t="s">
        <v>537</v>
      </c>
      <c r="N29" s="393" t="s">
        <v>529</v>
      </c>
      <c r="O29" s="460" t="s">
        <v>538</v>
      </c>
      <c r="P29" s="393" t="s">
        <v>543</v>
      </c>
      <c r="Q29" s="492"/>
      <c r="R29" s="493"/>
      <c r="T29" s="497"/>
    </row>
    <row r="30" spans="1:20" ht="49.5" customHeight="1">
      <c r="A30" s="2" t="s">
        <v>604</v>
      </c>
      <c r="B30" s="491" t="e">
        <f>'3319'!#REF!</f>
        <v>#REF!</v>
      </c>
      <c r="C30" s="23" t="e">
        <f>'3319'!#REF!</f>
        <v>#REF!</v>
      </c>
      <c r="D30" s="23" t="e">
        <f>'3319'!#REF!</f>
        <v>#REF!</v>
      </c>
      <c r="E30" s="34">
        <v>27.905999999999999</v>
      </c>
      <c r="F30" s="34">
        <v>27.905999999999999</v>
      </c>
      <c r="G30" s="34"/>
      <c r="H30" s="34">
        <v>27.905999999999999</v>
      </c>
      <c r="I30" s="34">
        <f>H30-F30</f>
        <v>0</v>
      </c>
      <c r="J30" s="34">
        <v>27.905999999999999</v>
      </c>
      <c r="K30" s="25">
        <f>J30-H30</f>
        <v>0</v>
      </c>
      <c r="L30" s="34">
        <v>27.905999999999999</v>
      </c>
      <c r="M30" s="34">
        <f>L30-J30</f>
        <v>0</v>
      </c>
      <c r="N30" s="34">
        <v>27.905999999999999</v>
      </c>
      <c r="O30" s="34">
        <f>N30-L30</f>
        <v>0</v>
      </c>
      <c r="P30" s="25" t="e">
        <f>'3319'!#REF!</f>
        <v>#REF!</v>
      </c>
      <c r="Q30" s="494"/>
      <c r="R30" s="494"/>
      <c r="T30" s="497"/>
    </row>
    <row r="31" spans="1:20" ht="14.25" customHeight="1">
      <c r="B31" s="41" t="s">
        <v>10</v>
      </c>
      <c r="C31" s="42" t="e">
        <f>C30</f>
        <v>#REF!</v>
      </c>
      <c r="D31" s="42" t="e">
        <f>D30</f>
        <v>#REF!</v>
      </c>
      <c r="E31" s="417">
        <f>SUM(E30)</f>
        <v>27.905999999999999</v>
      </c>
      <c r="F31" s="417">
        <f t="shared" ref="F31:O31" si="5">SUM(F30)</f>
        <v>27.905999999999999</v>
      </c>
      <c r="G31" s="417">
        <f t="shared" si="5"/>
        <v>0</v>
      </c>
      <c r="H31" s="417">
        <f t="shared" si="5"/>
        <v>27.905999999999999</v>
      </c>
      <c r="I31" s="417">
        <f t="shared" si="5"/>
        <v>0</v>
      </c>
      <c r="J31" s="417">
        <f t="shared" si="5"/>
        <v>27.905999999999999</v>
      </c>
      <c r="K31" s="417">
        <f t="shared" si="5"/>
        <v>0</v>
      </c>
      <c r="L31" s="417">
        <f t="shared" si="5"/>
        <v>27.905999999999999</v>
      </c>
      <c r="M31" s="417">
        <f t="shared" si="5"/>
        <v>0</v>
      </c>
      <c r="N31" s="417">
        <f t="shared" si="5"/>
        <v>27.905999999999999</v>
      </c>
      <c r="O31" s="417">
        <f t="shared" si="5"/>
        <v>0</v>
      </c>
      <c r="P31" s="417" t="e">
        <f>SUM(P30)</f>
        <v>#REF!</v>
      </c>
      <c r="Q31" s="41"/>
      <c r="R31" s="41"/>
      <c r="T31" s="417"/>
    </row>
    <row r="32" spans="1:20" ht="17.25" customHeight="1">
      <c r="B32" s="4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95"/>
    </row>
    <row r="33" spans="1:20" ht="17.25" customHeight="1">
      <c r="B33" s="4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95"/>
    </row>
    <row r="34" spans="1:20" ht="43.5" customHeight="1">
      <c r="A34" s="75" t="s">
        <v>313</v>
      </c>
      <c r="B34" s="490" t="s">
        <v>575</v>
      </c>
      <c r="C34" s="507" t="s">
        <v>524</v>
      </c>
      <c r="D34" s="508" t="s">
        <v>315</v>
      </c>
      <c r="E34" s="393" t="s">
        <v>523</v>
      </c>
      <c r="F34" s="393" t="s">
        <v>525</v>
      </c>
      <c r="G34" s="460" t="s">
        <v>534</v>
      </c>
      <c r="H34" s="393" t="s">
        <v>526</v>
      </c>
      <c r="I34" s="460" t="s">
        <v>535</v>
      </c>
      <c r="J34" s="393" t="s">
        <v>527</v>
      </c>
      <c r="K34" s="460" t="s">
        <v>536</v>
      </c>
      <c r="L34" s="393" t="s">
        <v>528</v>
      </c>
      <c r="M34" s="460" t="s">
        <v>537</v>
      </c>
      <c r="N34" s="393" t="s">
        <v>529</v>
      </c>
      <c r="O34" s="460" t="s">
        <v>538</v>
      </c>
      <c r="P34" s="393" t="s">
        <v>543</v>
      </c>
      <c r="Q34" s="492"/>
      <c r="R34" s="493"/>
      <c r="T34" s="497"/>
    </row>
    <row r="35" spans="1:20" ht="49.5" customHeight="1">
      <c r="A35" s="2" t="s">
        <v>605</v>
      </c>
      <c r="B35" s="491" t="str">
        <f>'3611'!B5</f>
        <v>6121
Obytná zóna za elektrárenskými bytovkami</v>
      </c>
      <c r="C35" s="23">
        <f>'3611'!C5</f>
        <v>3500</v>
      </c>
      <c r="D35" s="23">
        <f>'3611'!D5</f>
        <v>3500</v>
      </c>
      <c r="E35" s="34">
        <v>0</v>
      </c>
      <c r="F35" s="34"/>
      <c r="G35" s="34"/>
      <c r="H35" s="34">
        <v>5.8</v>
      </c>
      <c r="I35" s="34">
        <f>H35-F35</f>
        <v>5.8</v>
      </c>
      <c r="J35" s="34">
        <v>5.8</v>
      </c>
      <c r="K35" s="25">
        <f>J35-H35</f>
        <v>0</v>
      </c>
      <c r="L35" s="34">
        <v>5.8</v>
      </c>
      <c r="M35" s="34">
        <f>L35-J35</f>
        <v>0</v>
      </c>
      <c r="N35" s="34">
        <v>27.58</v>
      </c>
      <c r="O35" s="34">
        <f>N35-L35</f>
        <v>21.779999999999998</v>
      </c>
      <c r="P35" s="25">
        <f>'3611'!Y5</f>
        <v>844.70758999999998</v>
      </c>
      <c r="Q35" s="494"/>
      <c r="R35" s="494"/>
      <c r="T35" s="497"/>
    </row>
    <row r="36" spans="1:20" ht="14.25" customHeight="1">
      <c r="B36" s="41" t="s">
        <v>10</v>
      </c>
      <c r="C36" s="42">
        <f>C35</f>
        <v>3500</v>
      </c>
      <c r="D36" s="42">
        <f>D35</f>
        <v>3500</v>
      </c>
      <c r="E36" s="417">
        <f>SUM(E35)</f>
        <v>0</v>
      </c>
      <c r="F36" s="417">
        <f t="shared" ref="F36:O36" si="6">SUM(F35)</f>
        <v>0</v>
      </c>
      <c r="G36" s="417">
        <f>SUM(G35)</f>
        <v>0</v>
      </c>
      <c r="H36" s="417">
        <f t="shared" si="6"/>
        <v>5.8</v>
      </c>
      <c r="I36" s="417">
        <f t="shared" si="6"/>
        <v>5.8</v>
      </c>
      <c r="J36" s="417">
        <f t="shared" si="6"/>
        <v>5.8</v>
      </c>
      <c r="K36" s="417">
        <f t="shared" si="6"/>
        <v>0</v>
      </c>
      <c r="L36" s="417">
        <f t="shared" si="6"/>
        <v>5.8</v>
      </c>
      <c r="M36" s="417">
        <f t="shared" si="6"/>
        <v>0</v>
      </c>
      <c r="N36" s="417">
        <f t="shared" si="6"/>
        <v>27.58</v>
      </c>
      <c r="O36" s="417">
        <f t="shared" si="6"/>
        <v>21.779999999999998</v>
      </c>
      <c r="P36" s="417">
        <f>SUM(P35)</f>
        <v>844.70758999999998</v>
      </c>
      <c r="Q36" s="41"/>
      <c r="R36" s="41"/>
      <c r="T36" s="417"/>
    </row>
    <row r="37" spans="1:20" ht="17.25" customHeight="1">
      <c r="B37" s="4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95"/>
    </row>
    <row r="38" spans="1:20" ht="17.25" customHeight="1">
      <c r="B38" s="4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95"/>
    </row>
    <row r="39" spans="1:20" ht="43.5" customHeight="1">
      <c r="A39" s="75" t="s">
        <v>313</v>
      </c>
      <c r="B39" s="490" t="s">
        <v>576</v>
      </c>
      <c r="C39" s="507" t="s">
        <v>524</v>
      </c>
      <c r="D39" s="508" t="s">
        <v>315</v>
      </c>
      <c r="E39" s="393" t="s">
        <v>523</v>
      </c>
      <c r="F39" s="393" t="s">
        <v>525</v>
      </c>
      <c r="G39" s="460" t="s">
        <v>534</v>
      </c>
      <c r="H39" s="393" t="s">
        <v>526</v>
      </c>
      <c r="I39" s="460" t="s">
        <v>535</v>
      </c>
      <c r="J39" s="393" t="s">
        <v>527</v>
      </c>
      <c r="K39" s="460" t="s">
        <v>536</v>
      </c>
      <c r="L39" s="393" t="s">
        <v>528</v>
      </c>
      <c r="M39" s="460" t="s">
        <v>537</v>
      </c>
      <c r="N39" s="393" t="s">
        <v>529</v>
      </c>
      <c r="O39" s="460" t="s">
        <v>538</v>
      </c>
      <c r="P39" s="393" t="s">
        <v>543</v>
      </c>
      <c r="Q39" s="492"/>
      <c r="R39" s="493"/>
      <c r="T39" s="497"/>
    </row>
    <row r="40" spans="1:20" ht="49.5" customHeight="1">
      <c r="A40" s="2" t="s">
        <v>606</v>
      </c>
      <c r="B40" s="491" t="e">
        <f>'3612'!#REF!</f>
        <v>#REF!</v>
      </c>
      <c r="C40" s="23" t="e">
        <f>'3612'!#REF!</f>
        <v>#REF!</v>
      </c>
      <c r="D40" s="23" t="e">
        <f>'3612'!#REF!</f>
        <v>#REF!</v>
      </c>
      <c r="E40" s="34">
        <v>0</v>
      </c>
      <c r="F40" s="34"/>
      <c r="G40" s="34"/>
      <c r="H40" s="34"/>
      <c r="I40" s="34">
        <f>H40-F40</f>
        <v>0</v>
      </c>
      <c r="J40" s="34"/>
      <c r="K40" s="25">
        <f>J40-H40</f>
        <v>0</v>
      </c>
      <c r="L40" s="34">
        <v>0</v>
      </c>
      <c r="M40" s="34">
        <f>L40-J40</f>
        <v>0</v>
      </c>
      <c r="N40" s="34">
        <v>0</v>
      </c>
      <c r="O40" s="34">
        <f>N40-L40</f>
        <v>0</v>
      </c>
      <c r="P40" s="25" t="e">
        <f>'3612'!#REF!</f>
        <v>#REF!</v>
      </c>
      <c r="Q40" s="494"/>
      <c r="R40" s="494"/>
      <c r="T40" s="497"/>
    </row>
    <row r="41" spans="1:20" ht="14.25" customHeight="1">
      <c r="B41" s="41" t="s">
        <v>10</v>
      </c>
      <c r="C41" s="42" t="e">
        <f>C40</f>
        <v>#REF!</v>
      </c>
      <c r="D41" s="42" t="e">
        <f>D40</f>
        <v>#REF!</v>
      </c>
      <c r="E41" s="417">
        <f>SUM(E40)</f>
        <v>0</v>
      </c>
      <c r="F41" s="417">
        <f t="shared" ref="F41:O41" si="7">SUM(F40)</f>
        <v>0</v>
      </c>
      <c r="G41" s="417">
        <f>SUM(G40)</f>
        <v>0</v>
      </c>
      <c r="H41" s="417">
        <f t="shared" si="7"/>
        <v>0</v>
      </c>
      <c r="I41" s="417">
        <f t="shared" si="7"/>
        <v>0</v>
      </c>
      <c r="J41" s="417">
        <f t="shared" si="7"/>
        <v>0</v>
      </c>
      <c r="K41" s="417">
        <f t="shared" si="7"/>
        <v>0</v>
      </c>
      <c r="L41" s="417">
        <f t="shared" si="7"/>
        <v>0</v>
      </c>
      <c r="M41" s="417">
        <f t="shared" si="7"/>
        <v>0</v>
      </c>
      <c r="N41" s="417">
        <f t="shared" si="7"/>
        <v>0</v>
      </c>
      <c r="O41" s="417">
        <f t="shared" si="7"/>
        <v>0</v>
      </c>
      <c r="P41" s="417" t="e">
        <f>SUM(P40)</f>
        <v>#REF!</v>
      </c>
      <c r="Q41" s="41"/>
      <c r="R41" s="41"/>
      <c r="T41" s="417"/>
    </row>
    <row r="42" spans="1:20" ht="17.25" customHeight="1">
      <c r="B42" s="4"/>
      <c r="C42" s="5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95"/>
    </row>
    <row r="43" spans="1:20" ht="17.25" customHeight="1">
      <c r="B43" s="4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95"/>
    </row>
    <row r="44" spans="1:20" ht="43.5" customHeight="1">
      <c r="A44" s="75" t="s">
        <v>313</v>
      </c>
      <c r="B44" s="490" t="s">
        <v>626</v>
      </c>
      <c r="C44" s="507" t="s">
        <v>524</v>
      </c>
      <c r="D44" s="508" t="s">
        <v>315</v>
      </c>
      <c r="E44" s="393" t="s">
        <v>523</v>
      </c>
      <c r="F44" s="393" t="s">
        <v>525</v>
      </c>
      <c r="G44" s="460" t="s">
        <v>534</v>
      </c>
      <c r="H44" s="393" t="s">
        <v>526</v>
      </c>
      <c r="I44" s="460" t="s">
        <v>535</v>
      </c>
      <c r="J44" s="393" t="s">
        <v>527</v>
      </c>
      <c r="K44" s="460" t="s">
        <v>536</v>
      </c>
      <c r="L44" s="393" t="s">
        <v>528</v>
      </c>
      <c r="M44" s="460" t="s">
        <v>537</v>
      </c>
      <c r="N44" s="393" t="s">
        <v>529</v>
      </c>
      <c r="O44" s="460" t="s">
        <v>538</v>
      </c>
      <c r="P44" s="393" t="s">
        <v>543</v>
      </c>
      <c r="Q44" s="492"/>
      <c r="R44" s="493"/>
      <c r="T44" s="497"/>
    </row>
    <row r="45" spans="1:20" ht="49.5" customHeight="1">
      <c r="A45" s="2" t="s">
        <v>624</v>
      </c>
      <c r="B45" s="491" t="e">
        <f>'3613'!#REF!</f>
        <v>#REF!</v>
      </c>
      <c r="C45" s="23" t="e">
        <f>'3613'!#REF!</f>
        <v>#REF!</v>
      </c>
      <c r="D45" s="23" t="e">
        <f>'3613'!#REF!</f>
        <v>#REF!</v>
      </c>
      <c r="E45" s="34">
        <v>0</v>
      </c>
      <c r="F45" s="34"/>
      <c r="G45" s="34">
        <f>F45-E45</f>
        <v>0</v>
      </c>
      <c r="H45" s="34"/>
      <c r="I45" s="34">
        <f>H45-F45</f>
        <v>0</v>
      </c>
      <c r="J45" s="34"/>
      <c r="K45" s="25">
        <f>J45-H45</f>
        <v>0</v>
      </c>
      <c r="L45" s="34">
        <v>0</v>
      </c>
      <c r="M45" s="34">
        <f>L45-J45</f>
        <v>0</v>
      </c>
      <c r="N45" s="34">
        <v>105.22281</v>
      </c>
      <c r="O45" s="34">
        <f>N45-L45</f>
        <v>105.22281</v>
      </c>
      <c r="P45" s="25" t="e">
        <f>'3613'!#REF!</f>
        <v>#REF!</v>
      </c>
      <c r="Q45" s="494"/>
      <c r="R45" s="494"/>
      <c r="T45" s="497"/>
    </row>
    <row r="46" spans="1:20" ht="14.25" customHeight="1">
      <c r="B46" s="41" t="s">
        <v>10</v>
      </c>
      <c r="C46" s="42" t="e">
        <f>C45</f>
        <v>#REF!</v>
      </c>
      <c r="D46" s="42" t="e">
        <f>D45</f>
        <v>#REF!</v>
      </c>
      <c r="E46" s="417">
        <f>SUM(E45)</f>
        <v>0</v>
      </c>
      <c r="F46" s="417">
        <f>SUM(F45)</f>
        <v>0</v>
      </c>
      <c r="G46" s="417">
        <f>SUM(G45)</f>
        <v>0</v>
      </c>
      <c r="H46" s="417">
        <f t="shared" ref="H46:O46" si="8">SUM(H45)</f>
        <v>0</v>
      </c>
      <c r="I46" s="417">
        <f t="shared" si="8"/>
        <v>0</v>
      </c>
      <c r="J46" s="417">
        <f t="shared" si="8"/>
        <v>0</v>
      </c>
      <c r="K46" s="417">
        <f t="shared" si="8"/>
        <v>0</v>
      </c>
      <c r="L46" s="417">
        <f t="shared" si="8"/>
        <v>0</v>
      </c>
      <c r="M46" s="417">
        <f t="shared" si="8"/>
        <v>0</v>
      </c>
      <c r="N46" s="417">
        <f t="shared" si="8"/>
        <v>105.22281</v>
      </c>
      <c r="O46" s="417">
        <f t="shared" si="8"/>
        <v>105.22281</v>
      </c>
      <c r="P46" s="417" t="e">
        <f>SUM(P45)</f>
        <v>#REF!</v>
      </c>
      <c r="Q46" s="41"/>
      <c r="R46" s="41"/>
      <c r="T46" s="417"/>
    </row>
    <row r="47" spans="1:20" s="72" customFormat="1" ht="17.25" customHeight="1">
      <c r="A47" s="81"/>
      <c r="B47" s="581"/>
      <c r="C47" s="42"/>
      <c r="D47" s="4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3"/>
    </row>
    <row r="48" spans="1:20" ht="17.25" customHeight="1">
      <c r="B48" s="4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95"/>
    </row>
    <row r="49" spans="1:20" ht="43.5" customHeight="1">
      <c r="A49" s="75" t="s">
        <v>313</v>
      </c>
      <c r="B49" s="490" t="s">
        <v>586</v>
      </c>
      <c r="C49" s="507" t="s">
        <v>524</v>
      </c>
      <c r="D49" s="508" t="s">
        <v>315</v>
      </c>
      <c r="E49" s="393" t="s">
        <v>523</v>
      </c>
      <c r="F49" s="393" t="s">
        <v>525</v>
      </c>
      <c r="G49" s="460" t="s">
        <v>534</v>
      </c>
      <c r="H49" s="393" t="s">
        <v>526</v>
      </c>
      <c r="I49" s="460" t="s">
        <v>535</v>
      </c>
      <c r="J49" s="393" t="s">
        <v>527</v>
      </c>
      <c r="K49" s="460" t="s">
        <v>536</v>
      </c>
      <c r="L49" s="393" t="s">
        <v>528</v>
      </c>
      <c r="M49" s="460" t="s">
        <v>537</v>
      </c>
      <c r="N49" s="393" t="s">
        <v>529</v>
      </c>
      <c r="O49" s="460" t="s">
        <v>538</v>
      </c>
      <c r="P49" s="393" t="s">
        <v>543</v>
      </c>
      <c r="Q49" s="492"/>
      <c r="R49" s="493"/>
      <c r="T49" s="497"/>
    </row>
    <row r="50" spans="1:20" ht="49.5" customHeight="1">
      <c r="A50" s="2" t="s">
        <v>578</v>
      </c>
      <c r="B50" s="491" t="str">
        <f>'3619'!B5</f>
        <v xml:space="preserve">6121
Obytná zóna na Daníčkách </v>
      </c>
      <c r="C50" s="23">
        <f>'3619'!C5</f>
        <v>200</v>
      </c>
      <c r="D50" s="23">
        <f>'3619'!D5</f>
        <v>400</v>
      </c>
      <c r="E50" s="34">
        <v>0</v>
      </c>
      <c r="F50" s="34">
        <v>8.35989</v>
      </c>
      <c r="G50" s="34">
        <f>F50-E50</f>
        <v>8.35989</v>
      </c>
      <c r="H50" s="34">
        <v>8.35989</v>
      </c>
      <c r="I50" s="34">
        <f>H50-F50</f>
        <v>0</v>
      </c>
      <c r="J50" s="34">
        <v>15.35989</v>
      </c>
      <c r="K50" s="25">
        <f>J50-H50</f>
        <v>7</v>
      </c>
      <c r="L50" s="34">
        <v>15.35989</v>
      </c>
      <c r="M50" s="34">
        <f>L50-J50</f>
        <v>0</v>
      </c>
      <c r="N50" s="34">
        <v>15.35989</v>
      </c>
      <c r="O50" s="34">
        <f>N50-L50</f>
        <v>0</v>
      </c>
      <c r="P50" s="25">
        <f>'3619'!Y5</f>
        <v>15.35989</v>
      </c>
      <c r="Q50" s="494"/>
      <c r="R50" s="494"/>
      <c r="T50" s="497"/>
    </row>
    <row r="51" spans="1:20" ht="14.25" customHeight="1">
      <c r="B51" s="41" t="s">
        <v>10</v>
      </c>
      <c r="C51" s="42">
        <f>C50</f>
        <v>200</v>
      </c>
      <c r="D51" s="42">
        <f>D50</f>
        <v>400</v>
      </c>
      <c r="E51" s="417">
        <f t="shared" ref="E51:O51" si="9">SUM(E50)</f>
        <v>0</v>
      </c>
      <c r="F51" s="417">
        <f t="shared" si="9"/>
        <v>8.35989</v>
      </c>
      <c r="G51" s="417">
        <f>SUM(G50)</f>
        <v>8.35989</v>
      </c>
      <c r="H51" s="417">
        <f t="shared" si="9"/>
        <v>8.35989</v>
      </c>
      <c r="I51" s="417">
        <f t="shared" si="9"/>
        <v>0</v>
      </c>
      <c r="J51" s="417">
        <f t="shared" si="9"/>
        <v>15.35989</v>
      </c>
      <c r="K51" s="417">
        <f t="shared" si="9"/>
        <v>7</v>
      </c>
      <c r="L51" s="417">
        <f t="shared" si="9"/>
        <v>15.35989</v>
      </c>
      <c r="M51" s="417">
        <f t="shared" si="9"/>
        <v>0</v>
      </c>
      <c r="N51" s="417">
        <f t="shared" si="9"/>
        <v>15.35989</v>
      </c>
      <c r="O51" s="417">
        <f t="shared" si="9"/>
        <v>0</v>
      </c>
      <c r="P51" s="417">
        <f>SUM(P50)</f>
        <v>15.35989</v>
      </c>
      <c r="Q51" s="41"/>
      <c r="R51" s="41"/>
      <c r="T51" s="417"/>
    </row>
    <row r="52" spans="1:20" ht="17.25" customHeight="1">
      <c r="B52" s="4"/>
      <c r="C52" s="5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95"/>
    </row>
    <row r="53" spans="1:20" ht="17.25" customHeight="1">
      <c r="B53" s="4"/>
      <c r="C53" s="5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95"/>
    </row>
    <row r="54" spans="1:20" ht="43.5" customHeight="1">
      <c r="A54" s="75" t="s">
        <v>313</v>
      </c>
      <c r="B54" s="490" t="s">
        <v>587</v>
      </c>
      <c r="C54" s="507" t="s">
        <v>524</v>
      </c>
      <c r="D54" s="508" t="s">
        <v>315</v>
      </c>
      <c r="E54" s="393" t="s">
        <v>523</v>
      </c>
      <c r="F54" s="393" t="s">
        <v>525</v>
      </c>
      <c r="G54" s="460" t="s">
        <v>534</v>
      </c>
      <c r="H54" s="393" t="s">
        <v>526</v>
      </c>
      <c r="I54" s="460" t="s">
        <v>535</v>
      </c>
      <c r="J54" s="393" t="s">
        <v>527</v>
      </c>
      <c r="K54" s="460" t="s">
        <v>536</v>
      </c>
      <c r="L54" s="393" t="s">
        <v>528</v>
      </c>
      <c r="M54" s="460" t="s">
        <v>537</v>
      </c>
      <c r="N54" s="393" t="s">
        <v>529</v>
      </c>
      <c r="O54" s="460" t="s">
        <v>538</v>
      </c>
      <c r="P54" s="393" t="s">
        <v>543</v>
      </c>
      <c r="Q54" s="492"/>
      <c r="R54" s="493"/>
      <c r="T54" s="497"/>
    </row>
    <row r="55" spans="1:20" ht="49.5" customHeight="1">
      <c r="A55" s="2" t="s">
        <v>580</v>
      </c>
      <c r="B55" s="491" t="e">
        <f>'3631'!#REF!</f>
        <v>#REF!</v>
      </c>
      <c r="C55" s="23" t="e">
        <f>'3631'!#REF!</f>
        <v>#REF!</v>
      </c>
      <c r="D55" s="23" t="e">
        <f>'3631'!#REF!</f>
        <v>#REF!</v>
      </c>
      <c r="E55" s="34">
        <v>0</v>
      </c>
      <c r="F55" s="34"/>
      <c r="G55" s="34"/>
      <c r="H55" s="34">
        <v>396.41656999999998</v>
      </c>
      <c r="I55" s="34">
        <f>H55-F55</f>
        <v>396.41656999999998</v>
      </c>
      <c r="J55" s="34">
        <v>396.41656999999998</v>
      </c>
      <c r="K55" s="25">
        <f>J55-H55</f>
        <v>0</v>
      </c>
      <c r="L55" s="34">
        <v>396.41656999999998</v>
      </c>
      <c r="M55" s="34">
        <f>L55-J55</f>
        <v>0</v>
      </c>
      <c r="N55" s="34">
        <v>396.41656999999998</v>
      </c>
      <c r="O55" s="34">
        <f>N55-L55</f>
        <v>0</v>
      </c>
      <c r="P55" s="25" t="e">
        <f>'3631'!#REF!</f>
        <v>#REF!</v>
      </c>
      <c r="Q55" s="494"/>
      <c r="R55" s="494"/>
      <c r="T55" s="497"/>
    </row>
    <row r="56" spans="1:20" ht="14.25" customHeight="1">
      <c r="B56" s="41" t="s">
        <v>10</v>
      </c>
      <c r="C56" s="42" t="e">
        <f>C55</f>
        <v>#REF!</v>
      </c>
      <c r="D56" s="42" t="e">
        <f>D55</f>
        <v>#REF!</v>
      </c>
      <c r="E56" s="417">
        <f t="shared" ref="E56:O56" si="10">SUM(E55)</f>
        <v>0</v>
      </c>
      <c r="F56" s="417">
        <f t="shared" si="10"/>
        <v>0</v>
      </c>
      <c r="G56" s="417">
        <f>SUM(G55)</f>
        <v>0</v>
      </c>
      <c r="H56" s="417">
        <f t="shared" si="10"/>
        <v>396.41656999999998</v>
      </c>
      <c r="I56" s="417">
        <f t="shared" si="10"/>
        <v>396.41656999999998</v>
      </c>
      <c r="J56" s="417">
        <f t="shared" si="10"/>
        <v>396.41656999999998</v>
      </c>
      <c r="K56" s="417">
        <f t="shared" si="10"/>
        <v>0</v>
      </c>
      <c r="L56" s="417">
        <f t="shared" si="10"/>
        <v>396.41656999999998</v>
      </c>
      <c r="M56" s="417">
        <f t="shared" si="10"/>
        <v>0</v>
      </c>
      <c r="N56" s="417">
        <f t="shared" si="10"/>
        <v>396.41656999999998</v>
      </c>
      <c r="O56" s="417">
        <f t="shared" si="10"/>
        <v>0</v>
      </c>
      <c r="P56" s="417" t="e">
        <f>SUM(P55)</f>
        <v>#REF!</v>
      </c>
      <c r="Q56" s="41"/>
      <c r="R56" s="41"/>
      <c r="T56" s="417"/>
    </row>
    <row r="57" spans="1:20" ht="17.25" customHeight="1">
      <c r="B57" s="4"/>
      <c r="C57" s="5"/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95"/>
    </row>
    <row r="58" spans="1:20" ht="17.25" customHeight="1">
      <c r="B58" s="4"/>
      <c r="C58" s="5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95"/>
    </row>
    <row r="59" spans="1:20" ht="43.5" customHeight="1">
      <c r="A59" s="75" t="s">
        <v>313</v>
      </c>
      <c r="B59" s="490" t="s">
        <v>589</v>
      </c>
      <c r="C59" s="507" t="s">
        <v>524</v>
      </c>
      <c r="D59" s="508" t="s">
        <v>315</v>
      </c>
      <c r="E59" s="393" t="s">
        <v>523</v>
      </c>
      <c r="F59" s="393" t="s">
        <v>525</v>
      </c>
      <c r="G59" s="460" t="s">
        <v>534</v>
      </c>
      <c r="H59" s="393" t="s">
        <v>526</v>
      </c>
      <c r="I59" s="460" t="s">
        <v>535</v>
      </c>
      <c r="J59" s="393" t="s">
        <v>527</v>
      </c>
      <c r="K59" s="460" t="s">
        <v>536</v>
      </c>
      <c r="L59" s="393" t="s">
        <v>528</v>
      </c>
      <c r="M59" s="460" t="s">
        <v>537</v>
      </c>
      <c r="N59" s="393" t="s">
        <v>529</v>
      </c>
      <c r="O59" s="460" t="s">
        <v>538</v>
      </c>
      <c r="P59" s="393" t="s">
        <v>543</v>
      </c>
      <c r="Q59" s="492"/>
      <c r="R59" s="493"/>
      <c r="T59" s="497"/>
    </row>
    <row r="60" spans="1:20" ht="49.5" customHeight="1">
      <c r="A60" s="2" t="s">
        <v>588</v>
      </c>
      <c r="B60" s="491" t="e">
        <f>'3745'!#REF!</f>
        <v>#REF!</v>
      </c>
      <c r="C60" s="23" t="e">
        <f>'3745'!#REF!</f>
        <v>#REF!</v>
      </c>
      <c r="D60" s="23" t="e">
        <f>'3745'!#REF!</f>
        <v>#REF!</v>
      </c>
      <c r="E60" s="34"/>
      <c r="F60" s="34"/>
      <c r="G60" s="34"/>
      <c r="H60" s="34"/>
      <c r="I60" s="34">
        <f>H60-F60</f>
        <v>0</v>
      </c>
      <c r="J60" s="34"/>
      <c r="K60" s="25">
        <f>J60-H60</f>
        <v>0</v>
      </c>
      <c r="L60" s="34">
        <v>0</v>
      </c>
      <c r="M60" s="34">
        <f>L60-J60</f>
        <v>0</v>
      </c>
      <c r="N60" s="34"/>
      <c r="O60" s="34">
        <f>N60-L60</f>
        <v>0</v>
      </c>
      <c r="P60" s="25" t="e">
        <f>'3745'!#REF!</f>
        <v>#REF!</v>
      </c>
      <c r="Q60" s="494"/>
      <c r="R60" s="494"/>
      <c r="T60" s="497"/>
    </row>
    <row r="61" spans="1:20" ht="14.25" customHeight="1">
      <c r="B61" s="41" t="s">
        <v>10</v>
      </c>
      <c r="C61" s="42" t="e">
        <f>C60</f>
        <v>#REF!</v>
      </c>
      <c r="D61" s="42" t="e">
        <f>D60</f>
        <v>#REF!</v>
      </c>
      <c r="E61" s="417">
        <f>SUM(E60)</f>
        <v>0</v>
      </c>
      <c r="F61" s="417">
        <f t="shared" ref="F61:O61" si="11">SUM(F60)</f>
        <v>0</v>
      </c>
      <c r="G61" s="417">
        <f t="shared" si="11"/>
        <v>0</v>
      </c>
      <c r="H61" s="417">
        <f t="shared" si="11"/>
        <v>0</v>
      </c>
      <c r="I61" s="417">
        <f t="shared" si="11"/>
        <v>0</v>
      </c>
      <c r="J61" s="417">
        <f t="shared" si="11"/>
        <v>0</v>
      </c>
      <c r="K61" s="417">
        <f t="shared" si="11"/>
        <v>0</v>
      </c>
      <c r="L61" s="417">
        <f t="shared" si="11"/>
        <v>0</v>
      </c>
      <c r="M61" s="417">
        <f t="shared" si="11"/>
        <v>0</v>
      </c>
      <c r="N61" s="417">
        <f t="shared" si="11"/>
        <v>0</v>
      </c>
      <c r="O61" s="417">
        <f t="shared" si="11"/>
        <v>0</v>
      </c>
      <c r="P61" s="417" t="e">
        <f>SUM(P60)</f>
        <v>#REF!</v>
      </c>
      <c r="Q61" s="41"/>
      <c r="R61" s="41"/>
      <c r="T61" s="417"/>
    </row>
    <row r="62" spans="1:20" ht="17.25" customHeight="1">
      <c r="B62" s="4"/>
      <c r="C62" s="5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95"/>
    </row>
    <row r="63" spans="1:20" ht="17.25" customHeight="1">
      <c r="B63" s="4"/>
      <c r="C63" s="5"/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95"/>
    </row>
    <row r="64" spans="1:20" ht="43.5" customHeight="1">
      <c r="A64" s="75" t="s">
        <v>313</v>
      </c>
      <c r="B64" s="490" t="s">
        <v>589</v>
      </c>
      <c r="C64" s="507" t="s">
        <v>524</v>
      </c>
      <c r="D64" s="508" t="s">
        <v>315</v>
      </c>
      <c r="E64" s="393" t="s">
        <v>523</v>
      </c>
      <c r="F64" s="393" t="s">
        <v>525</v>
      </c>
      <c r="G64" s="460" t="s">
        <v>534</v>
      </c>
      <c r="H64" s="393" t="s">
        <v>526</v>
      </c>
      <c r="I64" s="460" t="s">
        <v>535</v>
      </c>
      <c r="J64" s="393" t="s">
        <v>527</v>
      </c>
      <c r="K64" s="460" t="s">
        <v>536</v>
      </c>
      <c r="L64" s="393" t="s">
        <v>528</v>
      </c>
      <c r="M64" s="460" t="s">
        <v>537</v>
      </c>
      <c r="N64" s="393" t="s">
        <v>529</v>
      </c>
      <c r="O64" s="460" t="s">
        <v>538</v>
      </c>
      <c r="P64" s="393" t="s">
        <v>543</v>
      </c>
      <c r="Q64" s="492"/>
      <c r="R64" s="493"/>
      <c r="T64" s="497"/>
    </row>
    <row r="65" spans="1:20" ht="49.5" customHeight="1">
      <c r="A65" s="2" t="s">
        <v>588</v>
      </c>
      <c r="B65" s="491" t="e">
        <f>'3745'!#REF!</f>
        <v>#REF!</v>
      </c>
      <c r="C65" s="23" t="e">
        <f>'3745'!#REF!</f>
        <v>#REF!</v>
      </c>
      <c r="D65" s="23" t="e">
        <f>'3745'!#REF!</f>
        <v>#REF!</v>
      </c>
      <c r="E65" s="34">
        <v>51.485999999999997</v>
      </c>
      <c r="F65" s="34">
        <v>51.485999999999997</v>
      </c>
      <c r="G65" s="34"/>
      <c r="H65" s="34">
        <v>51.485999999999997</v>
      </c>
      <c r="I65" s="34">
        <f>H65-F65</f>
        <v>0</v>
      </c>
      <c r="J65" s="34">
        <v>51.485999999999997</v>
      </c>
      <c r="K65" s="25">
        <f>J65-H65</f>
        <v>0</v>
      </c>
      <c r="L65" s="34">
        <v>87.786000000000001</v>
      </c>
      <c r="M65" s="34">
        <f>L65-J65</f>
        <v>36.300000000000004</v>
      </c>
      <c r="N65" s="34">
        <v>87.786000000000001</v>
      </c>
      <c r="O65" s="34">
        <f>N65-L65</f>
        <v>0</v>
      </c>
      <c r="P65" s="25" t="e">
        <f>'3745'!#REF!</f>
        <v>#REF!</v>
      </c>
      <c r="Q65" s="494"/>
      <c r="R65" s="494"/>
      <c r="T65" s="497"/>
    </row>
    <row r="66" spans="1:20" ht="14.25" customHeight="1">
      <c r="B66" s="41" t="s">
        <v>10</v>
      </c>
      <c r="C66" s="42" t="e">
        <f>C65</f>
        <v>#REF!</v>
      </c>
      <c r="D66" s="42" t="e">
        <f>D65</f>
        <v>#REF!</v>
      </c>
      <c r="E66" s="417">
        <f>SUM(E65)</f>
        <v>51.485999999999997</v>
      </c>
      <c r="F66" s="417">
        <f t="shared" ref="F66:O66" si="12">SUM(F65)</f>
        <v>51.485999999999997</v>
      </c>
      <c r="G66" s="417">
        <f t="shared" si="12"/>
        <v>0</v>
      </c>
      <c r="H66" s="417">
        <f t="shared" si="12"/>
        <v>51.485999999999997</v>
      </c>
      <c r="I66" s="417">
        <f t="shared" si="12"/>
        <v>0</v>
      </c>
      <c r="J66" s="417">
        <f t="shared" si="12"/>
        <v>51.485999999999997</v>
      </c>
      <c r="K66" s="417">
        <f t="shared" si="12"/>
        <v>0</v>
      </c>
      <c r="L66" s="417">
        <f t="shared" si="12"/>
        <v>87.786000000000001</v>
      </c>
      <c r="M66" s="417">
        <f t="shared" si="12"/>
        <v>36.300000000000004</v>
      </c>
      <c r="N66" s="417">
        <f t="shared" si="12"/>
        <v>87.786000000000001</v>
      </c>
      <c r="O66" s="417">
        <f t="shared" si="12"/>
        <v>0</v>
      </c>
      <c r="P66" s="417" t="e">
        <f>SUM(P65)</f>
        <v>#REF!</v>
      </c>
      <c r="Q66" s="41"/>
      <c r="R66" s="41"/>
      <c r="T66" s="417"/>
    </row>
    <row r="67" spans="1:20" ht="17.25" customHeight="1">
      <c r="B67" s="4"/>
      <c r="C67" s="5"/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95"/>
    </row>
    <row r="68" spans="1:20" ht="17.25" customHeight="1">
      <c r="B68" s="4"/>
      <c r="C68" s="5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95"/>
    </row>
    <row r="69" spans="1:20" ht="43.5" customHeight="1">
      <c r="A69" s="75" t="s">
        <v>313</v>
      </c>
      <c r="B69" s="490" t="s">
        <v>591</v>
      </c>
      <c r="C69" s="507" t="s">
        <v>524</v>
      </c>
      <c r="D69" s="508" t="s">
        <v>315</v>
      </c>
      <c r="E69" s="393" t="s">
        <v>523</v>
      </c>
      <c r="F69" s="393" t="s">
        <v>525</v>
      </c>
      <c r="G69" s="460" t="s">
        <v>534</v>
      </c>
      <c r="H69" s="393" t="s">
        <v>526</v>
      </c>
      <c r="I69" s="460" t="s">
        <v>535</v>
      </c>
      <c r="J69" s="393" t="s">
        <v>527</v>
      </c>
      <c r="K69" s="460" t="s">
        <v>536</v>
      </c>
      <c r="L69" s="393" t="s">
        <v>528</v>
      </c>
      <c r="M69" s="460" t="s">
        <v>537</v>
      </c>
      <c r="N69" s="393" t="s">
        <v>529</v>
      </c>
      <c r="O69" s="460" t="s">
        <v>538</v>
      </c>
      <c r="P69" s="393" t="s">
        <v>543</v>
      </c>
      <c r="Q69" s="492"/>
      <c r="R69" s="493"/>
    </row>
    <row r="70" spans="1:20" ht="49.5" customHeight="1">
      <c r="A70" s="2" t="s">
        <v>590</v>
      </c>
      <c r="B70" s="491" t="e">
        <f>'6171'!#REF!</f>
        <v>#REF!</v>
      </c>
      <c r="C70" s="23" t="e">
        <f>'6171'!#REF!</f>
        <v>#REF!</v>
      </c>
      <c r="D70" s="23" t="e">
        <f>'6171'!#REF!</f>
        <v>#REF!</v>
      </c>
      <c r="E70" s="34"/>
      <c r="F70" s="34"/>
      <c r="G70" s="34"/>
      <c r="H70" s="34"/>
      <c r="I70" s="34">
        <f>H70-F70</f>
        <v>0</v>
      </c>
      <c r="J70" s="34">
        <v>0</v>
      </c>
      <c r="K70" s="25">
        <f>J70-H70</f>
        <v>0</v>
      </c>
      <c r="L70" s="24">
        <v>0</v>
      </c>
      <c r="M70" s="34">
        <f>L70-J70</f>
        <v>0</v>
      </c>
      <c r="N70" s="34">
        <v>0</v>
      </c>
      <c r="O70" s="34">
        <f>N70-L70</f>
        <v>0</v>
      </c>
      <c r="P70" s="25" t="e">
        <f>'6171'!#REF!</f>
        <v>#REF!</v>
      </c>
      <c r="Q70" s="494"/>
      <c r="R70" s="494"/>
    </row>
    <row r="71" spans="1:20" s="72" customFormat="1" ht="14.25" customHeight="1">
      <c r="A71" s="81"/>
      <c r="B71" s="41" t="s">
        <v>10</v>
      </c>
      <c r="C71" s="42" t="e">
        <f>C70</f>
        <v>#REF!</v>
      </c>
      <c r="D71" s="42" t="e">
        <f>D70</f>
        <v>#REF!</v>
      </c>
      <c r="E71" s="417">
        <f>SUM(E70)</f>
        <v>0</v>
      </c>
      <c r="F71" s="417">
        <f t="shared" ref="F71:O71" si="13">SUM(F70)</f>
        <v>0</v>
      </c>
      <c r="G71" s="417">
        <f t="shared" si="13"/>
        <v>0</v>
      </c>
      <c r="H71" s="417">
        <f t="shared" si="13"/>
        <v>0</v>
      </c>
      <c r="I71" s="417">
        <f t="shared" si="13"/>
        <v>0</v>
      </c>
      <c r="J71" s="417">
        <f t="shared" si="13"/>
        <v>0</v>
      </c>
      <c r="K71" s="417">
        <f t="shared" si="13"/>
        <v>0</v>
      </c>
      <c r="L71" s="417">
        <f t="shared" si="13"/>
        <v>0</v>
      </c>
      <c r="M71" s="417">
        <f t="shared" si="13"/>
        <v>0</v>
      </c>
      <c r="N71" s="417">
        <f t="shared" si="13"/>
        <v>0</v>
      </c>
      <c r="O71" s="417">
        <f t="shared" si="13"/>
        <v>0</v>
      </c>
      <c r="P71" s="417" t="e">
        <f>SUM(P70)</f>
        <v>#REF!</v>
      </c>
      <c r="Q71" s="41"/>
      <c r="R71" s="41"/>
    </row>
    <row r="72" spans="1:20">
      <c r="A72" s="75"/>
      <c r="B72" s="435"/>
      <c r="C72" s="410"/>
      <c r="D72" s="410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64"/>
      <c r="R72" s="464"/>
    </row>
    <row r="73" spans="1:20">
      <c r="A73" s="75"/>
      <c r="B73" s="435"/>
      <c r="C73" s="410"/>
      <c r="D73" s="410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64"/>
      <c r="R73" s="464"/>
    </row>
    <row r="74" spans="1:20" ht="43.5" customHeight="1">
      <c r="A74" s="75" t="s">
        <v>313</v>
      </c>
      <c r="B74" s="490" t="s">
        <v>591</v>
      </c>
      <c r="C74" s="507" t="s">
        <v>524</v>
      </c>
      <c r="D74" s="508" t="s">
        <v>315</v>
      </c>
      <c r="E74" s="393" t="s">
        <v>523</v>
      </c>
      <c r="F74" s="393" t="s">
        <v>525</v>
      </c>
      <c r="G74" s="460" t="s">
        <v>534</v>
      </c>
      <c r="H74" s="393" t="s">
        <v>526</v>
      </c>
      <c r="I74" s="460" t="s">
        <v>535</v>
      </c>
      <c r="J74" s="393" t="s">
        <v>527</v>
      </c>
      <c r="K74" s="460" t="s">
        <v>536</v>
      </c>
      <c r="L74" s="393" t="s">
        <v>528</v>
      </c>
      <c r="M74" s="460" t="s">
        <v>537</v>
      </c>
      <c r="N74" s="393" t="s">
        <v>529</v>
      </c>
      <c r="O74" s="460" t="s">
        <v>538</v>
      </c>
      <c r="P74" s="393" t="s">
        <v>543</v>
      </c>
      <c r="Q74" s="492"/>
      <c r="R74" s="493"/>
    </row>
    <row r="75" spans="1:20" ht="49.5" customHeight="1">
      <c r="A75" s="2" t="s">
        <v>590</v>
      </c>
      <c r="B75" s="491" t="e">
        <f>'6171'!#REF!</f>
        <v>#REF!</v>
      </c>
      <c r="C75" s="23" t="e">
        <f>'6171'!#REF!</f>
        <v>#REF!</v>
      </c>
      <c r="D75" s="23" t="e">
        <f>'6171'!#REF!</f>
        <v>#REF!</v>
      </c>
      <c r="E75" s="34">
        <v>373.93400000000003</v>
      </c>
      <c r="F75" s="34">
        <v>373.93400000000003</v>
      </c>
      <c r="G75" s="34"/>
      <c r="H75" s="34">
        <v>373.93400000000003</v>
      </c>
      <c r="I75" s="34">
        <f>H75-F75</f>
        <v>0</v>
      </c>
      <c r="J75" s="34">
        <v>373.93400000000003</v>
      </c>
      <c r="K75" s="25">
        <f>J75-H75</f>
        <v>0</v>
      </c>
      <c r="L75" s="24">
        <v>373.93400000000003</v>
      </c>
      <c r="M75" s="34">
        <f>L75-J75</f>
        <v>0</v>
      </c>
      <c r="N75" s="34">
        <v>373.93400000000003</v>
      </c>
      <c r="O75" s="34">
        <f>N75-L75</f>
        <v>0</v>
      </c>
      <c r="P75" s="25" t="e">
        <f>'6171'!#REF!</f>
        <v>#REF!</v>
      </c>
      <c r="Q75" s="494"/>
      <c r="R75" s="494"/>
    </row>
    <row r="76" spans="1:20" ht="14.25" customHeight="1">
      <c r="B76" s="41" t="s">
        <v>10</v>
      </c>
      <c r="C76" s="42" t="e">
        <f>C75</f>
        <v>#REF!</v>
      </c>
      <c r="D76" s="42" t="e">
        <f>D75</f>
        <v>#REF!</v>
      </c>
      <c r="E76" s="417">
        <f>SUM(E75)</f>
        <v>373.93400000000003</v>
      </c>
      <c r="F76" s="417">
        <f t="shared" ref="F76:O76" si="14">SUM(F75)</f>
        <v>373.93400000000003</v>
      </c>
      <c r="G76" s="417">
        <f t="shared" si="14"/>
        <v>0</v>
      </c>
      <c r="H76" s="417">
        <f t="shared" si="14"/>
        <v>373.93400000000003</v>
      </c>
      <c r="I76" s="417">
        <f t="shared" si="14"/>
        <v>0</v>
      </c>
      <c r="J76" s="417">
        <f t="shared" si="14"/>
        <v>373.93400000000003</v>
      </c>
      <c r="K76" s="417">
        <f t="shared" si="14"/>
        <v>0</v>
      </c>
      <c r="L76" s="417">
        <f t="shared" si="14"/>
        <v>373.93400000000003</v>
      </c>
      <c r="M76" s="417">
        <f t="shared" si="14"/>
        <v>0</v>
      </c>
      <c r="N76" s="417">
        <f t="shared" si="14"/>
        <v>373.93400000000003</v>
      </c>
      <c r="O76" s="417">
        <f t="shared" si="14"/>
        <v>0</v>
      </c>
      <c r="P76" s="417" t="e">
        <f>SUM(P75)</f>
        <v>#REF!</v>
      </c>
      <c r="Q76" s="41"/>
      <c r="R76" s="41"/>
    </row>
    <row r="77" spans="1:20">
      <c r="A77" s="75"/>
      <c r="B77" s="435"/>
      <c r="C77" s="410"/>
      <c r="D77" s="410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64"/>
      <c r="R77" s="464"/>
    </row>
    <row r="78" spans="1:20">
      <c r="A78" s="75"/>
      <c r="B78" s="435"/>
      <c r="C78" s="410"/>
      <c r="D78" s="410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64"/>
      <c r="R78" s="464"/>
    </row>
    <row r="79" spans="1:20" ht="43.5" customHeight="1">
      <c r="A79" s="75" t="s">
        <v>313</v>
      </c>
      <c r="B79" s="490" t="s">
        <v>591</v>
      </c>
      <c r="C79" s="507" t="s">
        <v>524</v>
      </c>
      <c r="D79" s="508" t="s">
        <v>315</v>
      </c>
      <c r="E79" s="393" t="s">
        <v>523</v>
      </c>
      <c r="F79" s="393" t="s">
        <v>525</v>
      </c>
      <c r="G79" s="460" t="s">
        <v>534</v>
      </c>
      <c r="H79" s="393" t="s">
        <v>526</v>
      </c>
      <c r="I79" s="460" t="s">
        <v>535</v>
      </c>
      <c r="J79" s="393" t="s">
        <v>527</v>
      </c>
      <c r="K79" s="460" t="s">
        <v>536</v>
      </c>
      <c r="L79" s="393" t="s">
        <v>528</v>
      </c>
      <c r="M79" s="460" t="s">
        <v>537</v>
      </c>
      <c r="N79" s="393" t="s">
        <v>529</v>
      </c>
      <c r="O79" s="460" t="s">
        <v>538</v>
      </c>
      <c r="P79" s="393" t="s">
        <v>543</v>
      </c>
      <c r="Q79" s="492"/>
      <c r="R79" s="493"/>
    </row>
    <row r="80" spans="1:20" ht="49.5" customHeight="1">
      <c r="A80" s="2" t="s">
        <v>590</v>
      </c>
      <c r="B80" s="491" t="e">
        <f>'6171'!#REF!</f>
        <v>#REF!</v>
      </c>
      <c r="C80" s="23" t="e">
        <f>'6171'!#REF!</f>
        <v>#REF!</v>
      </c>
      <c r="D80" s="23" t="e">
        <f>'6171'!#REF!</f>
        <v>#REF!</v>
      </c>
      <c r="E80" s="34"/>
      <c r="F80" s="34"/>
      <c r="G80" s="34"/>
      <c r="H80" s="34"/>
      <c r="I80" s="34">
        <f>H80-F80</f>
        <v>0</v>
      </c>
      <c r="J80" s="34">
        <v>0</v>
      </c>
      <c r="K80" s="25">
        <f>J80-H80</f>
        <v>0</v>
      </c>
      <c r="L80" s="34">
        <v>0</v>
      </c>
      <c r="M80" s="34">
        <f>L80-J80</f>
        <v>0</v>
      </c>
      <c r="N80" s="34"/>
      <c r="O80" s="34">
        <f>N80-L80</f>
        <v>0</v>
      </c>
      <c r="P80" s="25" t="e">
        <f>'6171'!#REF!</f>
        <v>#REF!</v>
      </c>
      <c r="Q80" s="494"/>
      <c r="R80" s="494"/>
    </row>
    <row r="81" spans="1:20" s="72" customFormat="1" ht="14.25" customHeight="1">
      <c r="A81" s="81"/>
      <c r="B81" s="41" t="s">
        <v>10</v>
      </c>
      <c r="C81" s="42" t="e">
        <f>C80</f>
        <v>#REF!</v>
      </c>
      <c r="D81" s="42" t="e">
        <f>D80</f>
        <v>#REF!</v>
      </c>
      <c r="E81" s="417">
        <f>SUM(E80)</f>
        <v>0</v>
      </c>
      <c r="F81" s="417">
        <f t="shared" ref="F81:O81" si="15">SUM(F80)</f>
        <v>0</v>
      </c>
      <c r="G81" s="417">
        <f t="shared" si="15"/>
        <v>0</v>
      </c>
      <c r="H81" s="417">
        <f t="shared" si="15"/>
        <v>0</v>
      </c>
      <c r="I81" s="417">
        <f t="shared" si="15"/>
        <v>0</v>
      </c>
      <c r="J81" s="417">
        <f t="shared" si="15"/>
        <v>0</v>
      </c>
      <c r="K81" s="417">
        <f t="shared" si="15"/>
        <v>0</v>
      </c>
      <c r="L81" s="417">
        <f t="shared" si="15"/>
        <v>0</v>
      </c>
      <c r="M81" s="417">
        <f t="shared" si="15"/>
        <v>0</v>
      </c>
      <c r="N81" s="417">
        <f t="shared" si="15"/>
        <v>0</v>
      </c>
      <c r="O81" s="417">
        <f t="shared" si="15"/>
        <v>0</v>
      </c>
      <c r="P81" s="417" t="e">
        <f>SUM(P80)</f>
        <v>#REF!</v>
      </c>
      <c r="Q81" s="41"/>
      <c r="R81" s="41"/>
    </row>
    <row r="82" spans="1:20">
      <c r="A82" s="75"/>
      <c r="B82" s="435"/>
      <c r="C82" s="410"/>
      <c r="D82" s="410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64"/>
      <c r="R82" s="464"/>
    </row>
    <row r="83" spans="1:20">
      <c r="A83" s="75"/>
      <c r="B83" s="435"/>
      <c r="C83" s="410"/>
      <c r="D83" s="410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64"/>
      <c r="R83" s="464"/>
    </row>
    <row r="84" spans="1:20" ht="43.5" customHeight="1">
      <c r="A84" s="75" t="s">
        <v>313</v>
      </c>
      <c r="B84" s="490" t="s">
        <v>591</v>
      </c>
      <c r="C84" s="507" t="s">
        <v>524</v>
      </c>
      <c r="D84" s="508" t="s">
        <v>315</v>
      </c>
      <c r="E84" s="393" t="s">
        <v>523</v>
      </c>
      <c r="F84" s="393" t="s">
        <v>525</v>
      </c>
      <c r="G84" s="460" t="s">
        <v>534</v>
      </c>
      <c r="H84" s="393" t="s">
        <v>526</v>
      </c>
      <c r="I84" s="460" t="s">
        <v>535</v>
      </c>
      <c r="J84" s="393" t="s">
        <v>527</v>
      </c>
      <c r="K84" s="460" t="s">
        <v>536</v>
      </c>
      <c r="L84" s="393" t="s">
        <v>528</v>
      </c>
      <c r="M84" s="460" t="s">
        <v>537</v>
      </c>
      <c r="N84" s="393" t="s">
        <v>529</v>
      </c>
      <c r="O84" s="460" t="s">
        <v>538</v>
      </c>
      <c r="P84" s="393" t="s">
        <v>543</v>
      </c>
      <c r="Q84" s="492"/>
      <c r="R84" s="493"/>
      <c r="T84" s="497"/>
    </row>
    <row r="85" spans="1:20" ht="49.5" customHeight="1">
      <c r="A85" s="2" t="s">
        <v>590</v>
      </c>
      <c r="B85" s="491" t="e">
        <f>'6171'!#REF!</f>
        <v>#REF!</v>
      </c>
      <c r="C85" s="23" t="e">
        <f>'6171'!#REF!</f>
        <v>#REF!</v>
      </c>
      <c r="D85" s="23" t="e">
        <f>'6171'!#REF!</f>
        <v>#REF!</v>
      </c>
      <c r="E85" s="34">
        <v>0</v>
      </c>
      <c r="F85" s="34">
        <v>0.85</v>
      </c>
      <c r="G85" s="34">
        <f>F85-E85</f>
        <v>0.85</v>
      </c>
      <c r="H85" s="34">
        <v>104.8</v>
      </c>
      <c r="I85" s="34">
        <f>H85-F85</f>
        <v>103.95</v>
      </c>
      <c r="J85" s="34">
        <v>106.8</v>
      </c>
      <c r="K85" s="25">
        <f>J85-H85</f>
        <v>2</v>
      </c>
      <c r="L85" s="34">
        <v>112.22799999999999</v>
      </c>
      <c r="M85" s="34">
        <f>L85-J85</f>
        <v>5.4279999999999973</v>
      </c>
      <c r="N85" s="34">
        <v>112.22799999999999</v>
      </c>
      <c r="O85" s="34">
        <f>N85-L85</f>
        <v>0</v>
      </c>
      <c r="P85" s="25" t="e">
        <f>'6171'!#REF!</f>
        <v>#REF!</v>
      </c>
      <c r="Q85" s="494"/>
      <c r="R85" s="494"/>
      <c r="T85" s="497"/>
    </row>
    <row r="86" spans="1:20" ht="14.25" customHeight="1">
      <c r="B86" s="41" t="s">
        <v>10</v>
      </c>
      <c r="C86" s="42" t="e">
        <f>C85</f>
        <v>#REF!</v>
      </c>
      <c r="D86" s="42" t="e">
        <f>D85</f>
        <v>#REF!</v>
      </c>
      <c r="E86" s="417">
        <f>SUM(E85)</f>
        <v>0</v>
      </c>
      <c r="F86" s="417">
        <f t="shared" ref="F86:O86" si="16">SUM(F85)</f>
        <v>0.85</v>
      </c>
      <c r="G86" s="417">
        <f t="shared" si="16"/>
        <v>0.85</v>
      </c>
      <c r="H86" s="417">
        <f t="shared" si="16"/>
        <v>104.8</v>
      </c>
      <c r="I86" s="417">
        <f t="shared" si="16"/>
        <v>103.95</v>
      </c>
      <c r="J86" s="417">
        <f t="shared" si="16"/>
        <v>106.8</v>
      </c>
      <c r="K86" s="417">
        <f t="shared" si="16"/>
        <v>2</v>
      </c>
      <c r="L86" s="417">
        <f t="shared" si="16"/>
        <v>112.22799999999999</v>
      </c>
      <c r="M86" s="417">
        <f t="shared" si="16"/>
        <v>5.4279999999999973</v>
      </c>
      <c r="N86" s="417">
        <f t="shared" si="16"/>
        <v>112.22799999999999</v>
      </c>
      <c r="O86" s="417">
        <f t="shared" si="16"/>
        <v>0</v>
      </c>
      <c r="P86" s="417" t="e">
        <f>SUM(P85)</f>
        <v>#REF!</v>
      </c>
      <c r="Q86" s="41"/>
      <c r="R86" s="41"/>
      <c r="T86" s="417"/>
    </row>
    <row r="87" spans="1:20" ht="14.25" customHeight="1">
      <c r="B87" s="41"/>
      <c r="C87" s="42"/>
      <c r="D87" s="42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"/>
      <c r="R87" s="41"/>
      <c r="T87" s="417"/>
    </row>
  </sheetData>
  <conditionalFormatting sqref="Q29:R31 Q69:R87 Q54:R56 Q49:R51 Q44:R46 Q39:R41 Q34:R36 Q5:R7 Q19:R21 Q14:R16 Q10:R11 Q24:R26 Q64:R66 Q59:R61">
    <cfRule type="cellIs" dxfId="2" priority="3" operator="greaterThan">
      <formula>100</formula>
    </cfRule>
  </conditionalFormatting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96"/>
  <sheetViews>
    <sheetView workbookViewId="0">
      <selection activeCell="D4" sqref="D4"/>
    </sheetView>
  </sheetViews>
  <sheetFormatPr defaultRowHeight="12.75"/>
  <cols>
    <col min="1" max="1" width="5.140625" style="86" customWidth="1"/>
    <col min="2" max="2" width="43" style="86" customWidth="1"/>
    <col min="3" max="3" width="12" style="87" customWidth="1"/>
    <col min="4" max="4" width="13.42578125" style="87" customWidth="1"/>
    <col min="5" max="5" width="12.85546875" style="86" customWidth="1"/>
    <col min="6" max="256" width="9.140625" style="86"/>
    <col min="257" max="257" width="5.140625" style="86" customWidth="1"/>
    <col min="258" max="258" width="43" style="86" customWidth="1"/>
    <col min="259" max="259" width="12" style="86" customWidth="1"/>
    <col min="260" max="260" width="13.42578125" style="86" customWidth="1"/>
    <col min="261" max="261" width="12.85546875" style="86" customWidth="1"/>
    <col min="262" max="512" width="9.140625" style="86"/>
    <col min="513" max="513" width="5.140625" style="86" customWidth="1"/>
    <col min="514" max="514" width="43" style="86" customWidth="1"/>
    <col min="515" max="515" width="12" style="86" customWidth="1"/>
    <col min="516" max="516" width="13.42578125" style="86" customWidth="1"/>
    <col min="517" max="517" width="12.85546875" style="86" customWidth="1"/>
    <col min="518" max="768" width="9.140625" style="86"/>
    <col min="769" max="769" width="5.140625" style="86" customWidth="1"/>
    <col min="770" max="770" width="43" style="86" customWidth="1"/>
    <col min="771" max="771" width="12" style="86" customWidth="1"/>
    <col min="772" max="772" width="13.42578125" style="86" customWidth="1"/>
    <col min="773" max="773" width="12.85546875" style="86" customWidth="1"/>
    <col min="774" max="1024" width="9.140625" style="86"/>
    <col min="1025" max="1025" width="5.140625" style="86" customWidth="1"/>
    <col min="1026" max="1026" width="43" style="86" customWidth="1"/>
    <col min="1027" max="1027" width="12" style="86" customWidth="1"/>
    <col min="1028" max="1028" width="13.42578125" style="86" customWidth="1"/>
    <col min="1029" max="1029" width="12.85546875" style="86" customWidth="1"/>
    <col min="1030" max="1280" width="9.140625" style="86"/>
    <col min="1281" max="1281" width="5.140625" style="86" customWidth="1"/>
    <col min="1282" max="1282" width="43" style="86" customWidth="1"/>
    <col min="1283" max="1283" width="12" style="86" customWidth="1"/>
    <col min="1284" max="1284" width="13.42578125" style="86" customWidth="1"/>
    <col min="1285" max="1285" width="12.85546875" style="86" customWidth="1"/>
    <col min="1286" max="1536" width="9.140625" style="86"/>
    <col min="1537" max="1537" width="5.140625" style="86" customWidth="1"/>
    <col min="1538" max="1538" width="43" style="86" customWidth="1"/>
    <col min="1539" max="1539" width="12" style="86" customWidth="1"/>
    <col min="1540" max="1540" width="13.42578125" style="86" customWidth="1"/>
    <col min="1541" max="1541" width="12.85546875" style="86" customWidth="1"/>
    <col min="1542" max="1792" width="9.140625" style="86"/>
    <col min="1793" max="1793" width="5.140625" style="86" customWidth="1"/>
    <col min="1794" max="1794" width="43" style="86" customWidth="1"/>
    <col min="1795" max="1795" width="12" style="86" customWidth="1"/>
    <col min="1796" max="1796" width="13.42578125" style="86" customWidth="1"/>
    <col min="1797" max="1797" width="12.85546875" style="86" customWidth="1"/>
    <col min="1798" max="2048" width="9.140625" style="86"/>
    <col min="2049" max="2049" width="5.140625" style="86" customWidth="1"/>
    <col min="2050" max="2050" width="43" style="86" customWidth="1"/>
    <col min="2051" max="2051" width="12" style="86" customWidth="1"/>
    <col min="2052" max="2052" width="13.42578125" style="86" customWidth="1"/>
    <col min="2053" max="2053" width="12.85546875" style="86" customWidth="1"/>
    <col min="2054" max="2304" width="9.140625" style="86"/>
    <col min="2305" max="2305" width="5.140625" style="86" customWidth="1"/>
    <col min="2306" max="2306" width="43" style="86" customWidth="1"/>
    <col min="2307" max="2307" width="12" style="86" customWidth="1"/>
    <col min="2308" max="2308" width="13.42578125" style="86" customWidth="1"/>
    <col min="2309" max="2309" width="12.85546875" style="86" customWidth="1"/>
    <col min="2310" max="2560" width="9.140625" style="86"/>
    <col min="2561" max="2561" width="5.140625" style="86" customWidth="1"/>
    <col min="2562" max="2562" width="43" style="86" customWidth="1"/>
    <col min="2563" max="2563" width="12" style="86" customWidth="1"/>
    <col min="2564" max="2564" width="13.42578125" style="86" customWidth="1"/>
    <col min="2565" max="2565" width="12.85546875" style="86" customWidth="1"/>
    <col min="2566" max="2816" width="9.140625" style="86"/>
    <col min="2817" max="2817" width="5.140625" style="86" customWidth="1"/>
    <col min="2818" max="2818" width="43" style="86" customWidth="1"/>
    <col min="2819" max="2819" width="12" style="86" customWidth="1"/>
    <col min="2820" max="2820" width="13.42578125" style="86" customWidth="1"/>
    <col min="2821" max="2821" width="12.85546875" style="86" customWidth="1"/>
    <col min="2822" max="3072" width="9.140625" style="86"/>
    <col min="3073" max="3073" width="5.140625" style="86" customWidth="1"/>
    <col min="3074" max="3074" width="43" style="86" customWidth="1"/>
    <col min="3075" max="3075" width="12" style="86" customWidth="1"/>
    <col min="3076" max="3076" width="13.42578125" style="86" customWidth="1"/>
    <col min="3077" max="3077" width="12.85546875" style="86" customWidth="1"/>
    <col min="3078" max="3328" width="9.140625" style="86"/>
    <col min="3329" max="3329" width="5.140625" style="86" customWidth="1"/>
    <col min="3330" max="3330" width="43" style="86" customWidth="1"/>
    <col min="3331" max="3331" width="12" style="86" customWidth="1"/>
    <col min="3332" max="3332" width="13.42578125" style="86" customWidth="1"/>
    <col min="3333" max="3333" width="12.85546875" style="86" customWidth="1"/>
    <col min="3334" max="3584" width="9.140625" style="86"/>
    <col min="3585" max="3585" width="5.140625" style="86" customWidth="1"/>
    <col min="3586" max="3586" width="43" style="86" customWidth="1"/>
    <col min="3587" max="3587" width="12" style="86" customWidth="1"/>
    <col min="3588" max="3588" width="13.42578125" style="86" customWidth="1"/>
    <col min="3589" max="3589" width="12.85546875" style="86" customWidth="1"/>
    <col min="3590" max="3840" width="9.140625" style="86"/>
    <col min="3841" max="3841" width="5.140625" style="86" customWidth="1"/>
    <col min="3842" max="3842" width="43" style="86" customWidth="1"/>
    <col min="3843" max="3843" width="12" style="86" customWidth="1"/>
    <col min="3844" max="3844" width="13.42578125" style="86" customWidth="1"/>
    <col min="3845" max="3845" width="12.85546875" style="86" customWidth="1"/>
    <col min="3846" max="4096" width="9.140625" style="86"/>
    <col min="4097" max="4097" width="5.140625" style="86" customWidth="1"/>
    <col min="4098" max="4098" width="43" style="86" customWidth="1"/>
    <col min="4099" max="4099" width="12" style="86" customWidth="1"/>
    <col min="4100" max="4100" width="13.42578125" style="86" customWidth="1"/>
    <col min="4101" max="4101" width="12.85546875" style="86" customWidth="1"/>
    <col min="4102" max="4352" width="9.140625" style="86"/>
    <col min="4353" max="4353" width="5.140625" style="86" customWidth="1"/>
    <col min="4354" max="4354" width="43" style="86" customWidth="1"/>
    <col min="4355" max="4355" width="12" style="86" customWidth="1"/>
    <col min="4356" max="4356" width="13.42578125" style="86" customWidth="1"/>
    <col min="4357" max="4357" width="12.85546875" style="86" customWidth="1"/>
    <col min="4358" max="4608" width="9.140625" style="86"/>
    <col min="4609" max="4609" width="5.140625" style="86" customWidth="1"/>
    <col min="4610" max="4610" width="43" style="86" customWidth="1"/>
    <col min="4611" max="4611" width="12" style="86" customWidth="1"/>
    <col min="4612" max="4612" width="13.42578125" style="86" customWidth="1"/>
    <col min="4613" max="4613" width="12.85546875" style="86" customWidth="1"/>
    <col min="4614" max="4864" width="9.140625" style="86"/>
    <col min="4865" max="4865" width="5.140625" style="86" customWidth="1"/>
    <col min="4866" max="4866" width="43" style="86" customWidth="1"/>
    <col min="4867" max="4867" width="12" style="86" customWidth="1"/>
    <col min="4868" max="4868" width="13.42578125" style="86" customWidth="1"/>
    <col min="4869" max="4869" width="12.85546875" style="86" customWidth="1"/>
    <col min="4870" max="5120" width="9.140625" style="86"/>
    <col min="5121" max="5121" width="5.140625" style="86" customWidth="1"/>
    <col min="5122" max="5122" width="43" style="86" customWidth="1"/>
    <col min="5123" max="5123" width="12" style="86" customWidth="1"/>
    <col min="5124" max="5124" width="13.42578125" style="86" customWidth="1"/>
    <col min="5125" max="5125" width="12.85546875" style="86" customWidth="1"/>
    <col min="5126" max="5376" width="9.140625" style="86"/>
    <col min="5377" max="5377" width="5.140625" style="86" customWidth="1"/>
    <col min="5378" max="5378" width="43" style="86" customWidth="1"/>
    <col min="5379" max="5379" width="12" style="86" customWidth="1"/>
    <col min="5380" max="5380" width="13.42578125" style="86" customWidth="1"/>
    <col min="5381" max="5381" width="12.85546875" style="86" customWidth="1"/>
    <col min="5382" max="5632" width="9.140625" style="86"/>
    <col min="5633" max="5633" width="5.140625" style="86" customWidth="1"/>
    <col min="5634" max="5634" width="43" style="86" customWidth="1"/>
    <col min="5635" max="5635" width="12" style="86" customWidth="1"/>
    <col min="5636" max="5636" width="13.42578125" style="86" customWidth="1"/>
    <col min="5637" max="5637" width="12.85546875" style="86" customWidth="1"/>
    <col min="5638" max="5888" width="9.140625" style="86"/>
    <col min="5889" max="5889" width="5.140625" style="86" customWidth="1"/>
    <col min="5890" max="5890" width="43" style="86" customWidth="1"/>
    <col min="5891" max="5891" width="12" style="86" customWidth="1"/>
    <col min="5892" max="5892" width="13.42578125" style="86" customWidth="1"/>
    <col min="5893" max="5893" width="12.85546875" style="86" customWidth="1"/>
    <col min="5894" max="6144" width="9.140625" style="86"/>
    <col min="6145" max="6145" width="5.140625" style="86" customWidth="1"/>
    <col min="6146" max="6146" width="43" style="86" customWidth="1"/>
    <col min="6147" max="6147" width="12" style="86" customWidth="1"/>
    <col min="6148" max="6148" width="13.42578125" style="86" customWidth="1"/>
    <col min="6149" max="6149" width="12.85546875" style="86" customWidth="1"/>
    <col min="6150" max="6400" width="9.140625" style="86"/>
    <col min="6401" max="6401" width="5.140625" style="86" customWidth="1"/>
    <col min="6402" max="6402" width="43" style="86" customWidth="1"/>
    <col min="6403" max="6403" width="12" style="86" customWidth="1"/>
    <col min="6404" max="6404" width="13.42578125" style="86" customWidth="1"/>
    <col min="6405" max="6405" width="12.85546875" style="86" customWidth="1"/>
    <col min="6406" max="6656" width="9.140625" style="86"/>
    <col min="6657" max="6657" width="5.140625" style="86" customWidth="1"/>
    <col min="6658" max="6658" width="43" style="86" customWidth="1"/>
    <col min="6659" max="6659" width="12" style="86" customWidth="1"/>
    <col min="6660" max="6660" width="13.42578125" style="86" customWidth="1"/>
    <col min="6661" max="6661" width="12.85546875" style="86" customWidth="1"/>
    <col min="6662" max="6912" width="9.140625" style="86"/>
    <col min="6913" max="6913" width="5.140625" style="86" customWidth="1"/>
    <col min="6914" max="6914" width="43" style="86" customWidth="1"/>
    <col min="6915" max="6915" width="12" style="86" customWidth="1"/>
    <col min="6916" max="6916" width="13.42578125" style="86" customWidth="1"/>
    <col min="6917" max="6917" width="12.85546875" style="86" customWidth="1"/>
    <col min="6918" max="7168" width="9.140625" style="86"/>
    <col min="7169" max="7169" width="5.140625" style="86" customWidth="1"/>
    <col min="7170" max="7170" width="43" style="86" customWidth="1"/>
    <col min="7171" max="7171" width="12" style="86" customWidth="1"/>
    <col min="7172" max="7172" width="13.42578125" style="86" customWidth="1"/>
    <col min="7173" max="7173" width="12.85546875" style="86" customWidth="1"/>
    <col min="7174" max="7424" width="9.140625" style="86"/>
    <col min="7425" max="7425" width="5.140625" style="86" customWidth="1"/>
    <col min="7426" max="7426" width="43" style="86" customWidth="1"/>
    <col min="7427" max="7427" width="12" style="86" customWidth="1"/>
    <col min="7428" max="7428" width="13.42578125" style="86" customWidth="1"/>
    <col min="7429" max="7429" width="12.85546875" style="86" customWidth="1"/>
    <col min="7430" max="7680" width="9.140625" style="86"/>
    <col min="7681" max="7681" width="5.140625" style="86" customWidth="1"/>
    <col min="7682" max="7682" width="43" style="86" customWidth="1"/>
    <col min="7683" max="7683" width="12" style="86" customWidth="1"/>
    <col min="7684" max="7684" width="13.42578125" style="86" customWidth="1"/>
    <col min="7685" max="7685" width="12.85546875" style="86" customWidth="1"/>
    <col min="7686" max="7936" width="9.140625" style="86"/>
    <col min="7937" max="7937" width="5.140625" style="86" customWidth="1"/>
    <col min="7938" max="7938" width="43" style="86" customWidth="1"/>
    <col min="7939" max="7939" width="12" style="86" customWidth="1"/>
    <col min="7940" max="7940" width="13.42578125" style="86" customWidth="1"/>
    <col min="7941" max="7941" width="12.85546875" style="86" customWidth="1"/>
    <col min="7942" max="8192" width="9.140625" style="86"/>
    <col min="8193" max="8193" width="5.140625" style="86" customWidth="1"/>
    <col min="8194" max="8194" width="43" style="86" customWidth="1"/>
    <col min="8195" max="8195" width="12" style="86" customWidth="1"/>
    <col min="8196" max="8196" width="13.42578125" style="86" customWidth="1"/>
    <col min="8197" max="8197" width="12.85546875" style="86" customWidth="1"/>
    <col min="8198" max="8448" width="9.140625" style="86"/>
    <col min="8449" max="8449" width="5.140625" style="86" customWidth="1"/>
    <col min="8450" max="8450" width="43" style="86" customWidth="1"/>
    <col min="8451" max="8451" width="12" style="86" customWidth="1"/>
    <col min="8452" max="8452" width="13.42578125" style="86" customWidth="1"/>
    <col min="8453" max="8453" width="12.85546875" style="86" customWidth="1"/>
    <col min="8454" max="8704" width="9.140625" style="86"/>
    <col min="8705" max="8705" width="5.140625" style="86" customWidth="1"/>
    <col min="8706" max="8706" width="43" style="86" customWidth="1"/>
    <col min="8707" max="8707" width="12" style="86" customWidth="1"/>
    <col min="8708" max="8708" width="13.42578125" style="86" customWidth="1"/>
    <col min="8709" max="8709" width="12.85546875" style="86" customWidth="1"/>
    <col min="8710" max="8960" width="9.140625" style="86"/>
    <col min="8961" max="8961" width="5.140625" style="86" customWidth="1"/>
    <col min="8962" max="8962" width="43" style="86" customWidth="1"/>
    <col min="8963" max="8963" width="12" style="86" customWidth="1"/>
    <col min="8964" max="8964" width="13.42578125" style="86" customWidth="1"/>
    <col min="8965" max="8965" width="12.85546875" style="86" customWidth="1"/>
    <col min="8966" max="9216" width="9.140625" style="86"/>
    <col min="9217" max="9217" width="5.140625" style="86" customWidth="1"/>
    <col min="9218" max="9218" width="43" style="86" customWidth="1"/>
    <col min="9219" max="9219" width="12" style="86" customWidth="1"/>
    <col min="9220" max="9220" width="13.42578125" style="86" customWidth="1"/>
    <col min="9221" max="9221" width="12.85546875" style="86" customWidth="1"/>
    <col min="9222" max="9472" width="9.140625" style="86"/>
    <col min="9473" max="9473" width="5.140625" style="86" customWidth="1"/>
    <col min="9474" max="9474" width="43" style="86" customWidth="1"/>
    <col min="9475" max="9475" width="12" style="86" customWidth="1"/>
    <col min="9476" max="9476" width="13.42578125" style="86" customWidth="1"/>
    <col min="9477" max="9477" width="12.85546875" style="86" customWidth="1"/>
    <col min="9478" max="9728" width="9.140625" style="86"/>
    <col min="9729" max="9729" width="5.140625" style="86" customWidth="1"/>
    <col min="9730" max="9730" width="43" style="86" customWidth="1"/>
    <col min="9731" max="9731" width="12" style="86" customWidth="1"/>
    <col min="9732" max="9732" width="13.42578125" style="86" customWidth="1"/>
    <col min="9733" max="9733" width="12.85546875" style="86" customWidth="1"/>
    <col min="9734" max="9984" width="9.140625" style="86"/>
    <col min="9985" max="9985" width="5.140625" style="86" customWidth="1"/>
    <col min="9986" max="9986" width="43" style="86" customWidth="1"/>
    <col min="9987" max="9987" width="12" style="86" customWidth="1"/>
    <col min="9988" max="9988" width="13.42578125" style="86" customWidth="1"/>
    <col min="9989" max="9989" width="12.85546875" style="86" customWidth="1"/>
    <col min="9990" max="10240" width="9.140625" style="86"/>
    <col min="10241" max="10241" width="5.140625" style="86" customWidth="1"/>
    <col min="10242" max="10242" width="43" style="86" customWidth="1"/>
    <col min="10243" max="10243" width="12" style="86" customWidth="1"/>
    <col min="10244" max="10244" width="13.42578125" style="86" customWidth="1"/>
    <col min="10245" max="10245" width="12.85546875" style="86" customWidth="1"/>
    <col min="10246" max="10496" width="9.140625" style="86"/>
    <col min="10497" max="10497" width="5.140625" style="86" customWidth="1"/>
    <col min="10498" max="10498" width="43" style="86" customWidth="1"/>
    <col min="10499" max="10499" width="12" style="86" customWidth="1"/>
    <col min="10500" max="10500" width="13.42578125" style="86" customWidth="1"/>
    <col min="10501" max="10501" width="12.85546875" style="86" customWidth="1"/>
    <col min="10502" max="10752" width="9.140625" style="86"/>
    <col min="10753" max="10753" width="5.140625" style="86" customWidth="1"/>
    <col min="10754" max="10754" width="43" style="86" customWidth="1"/>
    <col min="10755" max="10755" width="12" style="86" customWidth="1"/>
    <col min="10756" max="10756" width="13.42578125" style="86" customWidth="1"/>
    <col min="10757" max="10757" width="12.85546875" style="86" customWidth="1"/>
    <col min="10758" max="11008" width="9.140625" style="86"/>
    <col min="11009" max="11009" width="5.140625" style="86" customWidth="1"/>
    <col min="11010" max="11010" width="43" style="86" customWidth="1"/>
    <col min="11011" max="11011" width="12" style="86" customWidth="1"/>
    <col min="11012" max="11012" width="13.42578125" style="86" customWidth="1"/>
    <col min="11013" max="11013" width="12.85546875" style="86" customWidth="1"/>
    <col min="11014" max="11264" width="9.140625" style="86"/>
    <col min="11265" max="11265" width="5.140625" style="86" customWidth="1"/>
    <col min="11266" max="11266" width="43" style="86" customWidth="1"/>
    <col min="11267" max="11267" width="12" style="86" customWidth="1"/>
    <col min="11268" max="11268" width="13.42578125" style="86" customWidth="1"/>
    <col min="11269" max="11269" width="12.85546875" style="86" customWidth="1"/>
    <col min="11270" max="11520" width="9.140625" style="86"/>
    <col min="11521" max="11521" width="5.140625" style="86" customWidth="1"/>
    <col min="11522" max="11522" width="43" style="86" customWidth="1"/>
    <col min="11523" max="11523" width="12" style="86" customWidth="1"/>
    <col min="11524" max="11524" width="13.42578125" style="86" customWidth="1"/>
    <col min="11525" max="11525" width="12.85546875" style="86" customWidth="1"/>
    <col min="11526" max="11776" width="9.140625" style="86"/>
    <col min="11777" max="11777" width="5.140625" style="86" customWidth="1"/>
    <col min="11778" max="11778" width="43" style="86" customWidth="1"/>
    <col min="11779" max="11779" width="12" style="86" customWidth="1"/>
    <col min="11780" max="11780" width="13.42578125" style="86" customWidth="1"/>
    <col min="11781" max="11781" width="12.85546875" style="86" customWidth="1"/>
    <col min="11782" max="12032" width="9.140625" style="86"/>
    <col min="12033" max="12033" width="5.140625" style="86" customWidth="1"/>
    <col min="12034" max="12034" width="43" style="86" customWidth="1"/>
    <col min="12035" max="12035" width="12" style="86" customWidth="1"/>
    <col min="12036" max="12036" width="13.42578125" style="86" customWidth="1"/>
    <col min="12037" max="12037" width="12.85546875" style="86" customWidth="1"/>
    <col min="12038" max="12288" width="9.140625" style="86"/>
    <col min="12289" max="12289" width="5.140625" style="86" customWidth="1"/>
    <col min="12290" max="12290" width="43" style="86" customWidth="1"/>
    <col min="12291" max="12291" width="12" style="86" customWidth="1"/>
    <col min="12292" max="12292" width="13.42578125" style="86" customWidth="1"/>
    <col min="12293" max="12293" width="12.85546875" style="86" customWidth="1"/>
    <col min="12294" max="12544" width="9.140625" style="86"/>
    <col min="12545" max="12545" width="5.140625" style="86" customWidth="1"/>
    <col min="12546" max="12546" width="43" style="86" customWidth="1"/>
    <col min="12547" max="12547" width="12" style="86" customWidth="1"/>
    <col min="12548" max="12548" width="13.42578125" style="86" customWidth="1"/>
    <col min="12549" max="12549" width="12.85546875" style="86" customWidth="1"/>
    <col min="12550" max="12800" width="9.140625" style="86"/>
    <col min="12801" max="12801" width="5.140625" style="86" customWidth="1"/>
    <col min="12802" max="12802" width="43" style="86" customWidth="1"/>
    <col min="12803" max="12803" width="12" style="86" customWidth="1"/>
    <col min="12804" max="12804" width="13.42578125" style="86" customWidth="1"/>
    <col min="12805" max="12805" width="12.85546875" style="86" customWidth="1"/>
    <col min="12806" max="13056" width="9.140625" style="86"/>
    <col min="13057" max="13057" width="5.140625" style="86" customWidth="1"/>
    <col min="13058" max="13058" width="43" style="86" customWidth="1"/>
    <col min="13059" max="13059" width="12" style="86" customWidth="1"/>
    <col min="13060" max="13060" width="13.42578125" style="86" customWidth="1"/>
    <col min="13061" max="13061" width="12.85546875" style="86" customWidth="1"/>
    <col min="13062" max="13312" width="9.140625" style="86"/>
    <col min="13313" max="13313" width="5.140625" style="86" customWidth="1"/>
    <col min="13314" max="13314" width="43" style="86" customWidth="1"/>
    <col min="13315" max="13315" width="12" style="86" customWidth="1"/>
    <col min="13316" max="13316" width="13.42578125" style="86" customWidth="1"/>
    <col min="13317" max="13317" width="12.85546875" style="86" customWidth="1"/>
    <col min="13318" max="13568" width="9.140625" style="86"/>
    <col min="13569" max="13569" width="5.140625" style="86" customWidth="1"/>
    <col min="13570" max="13570" width="43" style="86" customWidth="1"/>
    <col min="13571" max="13571" width="12" style="86" customWidth="1"/>
    <col min="13572" max="13572" width="13.42578125" style="86" customWidth="1"/>
    <col min="13573" max="13573" width="12.85546875" style="86" customWidth="1"/>
    <col min="13574" max="13824" width="9.140625" style="86"/>
    <col min="13825" max="13825" width="5.140625" style="86" customWidth="1"/>
    <col min="13826" max="13826" width="43" style="86" customWidth="1"/>
    <col min="13827" max="13827" width="12" style="86" customWidth="1"/>
    <col min="13828" max="13828" width="13.42578125" style="86" customWidth="1"/>
    <col min="13829" max="13829" width="12.85546875" style="86" customWidth="1"/>
    <col min="13830" max="14080" width="9.140625" style="86"/>
    <col min="14081" max="14081" width="5.140625" style="86" customWidth="1"/>
    <col min="14082" max="14082" width="43" style="86" customWidth="1"/>
    <col min="14083" max="14083" width="12" style="86" customWidth="1"/>
    <col min="14084" max="14084" width="13.42578125" style="86" customWidth="1"/>
    <col min="14085" max="14085" width="12.85546875" style="86" customWidth="1"/>
    <col min="14086" max="14336" width="9.140625" style="86"/>
    <col min="14337" max="14337" width="5.140625" style="86" customWidth="1"/>
    <col min="14338" max="14338" width="43" style="86" customWidth="1"/>
    <col min="14339" max="14339" width="12" style="86" customWidth="1"/>
    <col min="14340" max="14340" width="13.42578125" style="86" customWidth="1"/>
    <col min="14341" max="14341" width="12.85546875" style="86" customWidth="1"/>
    <col min="14342" max="14592" width="9.140625" style="86"/>
    <col min="14593" max="14593" width="5.140625" style="86" customWidth="1"/>
    <col min="14594" max="14594" width="43" style="86" customWidth="1"/>
    <col min="14595" max="14595" width="12" style="86" customWidth="1"/>
    <col min="14596" max="14596" width="13.42578125" style="86" customWidth="1"/>
    <col min="14597" max="14597" width="12.85546875" style="86" customWidth="1"/>
    <col min="14598" max="14848" width="9.140625" style="86"/>
    <col min="14849" max="14849" width="5.140625" style="86" customWidth="1"/>
    <col min="14850" max="14850" width="43" style="86" customWidth="1"/>
    <col min="14851" max="14851" width="12" style="86" customWidth="1"/>
    <col min="14852" max="14852" width="13.42578125" style="86" customWidth="1"/>
    <col min="14853" max="14853" width="12.85546875" style="86" customWidth="1"/>
    <col min="14854" max="15104" width="9.140625" style="86"/>
    <col min="15105" max="15105" width="5.140625" style="86" customWidth="1"/>
    <col min="15106" max="15106" width="43" style="86" customWidth="1"/>
    <col min="15107" max="15107" width="12" style="86" customWidth="1"/>
    <col min="15108" max="15108" width="13.42578125" style="86" customWidth="1"/>
    <col min="15109" max="15109" width="12.85546875" style="86" customWidth="1"/>
    <col min="15110" max="15360" width="9.140625" style="86"/>
    <col min="15361" max="15361" width="5.140625" style="86" customWidth="1"/>
    <col min="15362" max="15362" width="43" style="86" customWidth="1"/>
    <col min="15363" max="15363" width="12" style="86" customWidth="1"/>
    <col min="15364" max="15364" width="13.42578125" style="86" customWidth="1"/>
    <col min="15365" max="15365" width="12.85546875" style="86" customWidth="1"/>
    <col min="15366" max="15616" width="9.140625" style="86"/>
    <col min="15617" max="15617" width="5.140625" style="86" customWidth="1"/>
    <col min="15618" max="15618" width="43" style="86" customWidth="1"/>
    <col min="15619" max="15619" width="12" style="86" customWidth="1"/>
    <col min="15620" max="15620" width="13.42578125" style="86" customWidth="1"/>
    <col min="15621" max="15621" width="12.85546875" style="86" customWidth="1"/>
    <col min="15622" max="15872" width="9.140625" style="86"/>
    <col min="15873" max="15873" width="5.140625" style="86" customWidth="1"/>
    <col min="15874" max="15874" width="43" style="86" customWidth="1"/>
    <col min="15875" max="15875" width="12" style="86" customWidth="1"/>
    <col min="15876" max="15876" width="13.42578125" style="86" customWidth="1"/>
    <col min="15877" max="15877" width="12.85546875" style="86" customWidth="1"/>
    <col min="15878" max="16128" width="9.140625" style="86"/>
    <col min="16129" max="16129" width="5.140625" style="86" customWidth="1"/>
    <col min="16130" max="16130" width="43" style="86" customWidth="1"/>
    <col min="16131" max="16131" width="12" style="86" customWidth="1"/>
    <col min="16132" max="16132" width="13.42578125" style="86" customWidth="1"/>
    <col min="16133" max="16133" width="12.85546875" style="86" customWidth="1"/>
    <col min="16134" max="16384" width="9.140625" style="86"/>
  </cols>
  <sheetData>
    <row r="1" spans="1:5">
      <c r="A1" s="110" t="s">
        <v>68</v>
      </c>
    </row>
    <row r="2" spans="1:5">
      <c r="A2" s="110"/>
      <c r="C2" s="100" t="s">
        <v>69</v>
      </c>
    </row>
    <row r="3" spans="1:5">
      <c r="A3" s="91"/>
      <c r="B3" s="91"/>
      <c r="C3" s="92" t="s">
        <v>32</v>
      </c>
      <c r="D3" s="94" t="s">
        <v>70</v>
      </c>
      <c r="E3" s="91" t="s">
        <v>71</v>
      </c>
    </row>
    <row r="4" spans="1:5">
      <c r="A4" s="95"/>
      <c r="B4" s="101" t="s">
        <v>72</v>
      </c>
      <c r="C4" s="93"/>
      <c r="D4" s="93"/>
      <c r="E4" s="101"/>
    </row>
    <row r="5" spans="1:5">
      <c r="A5" s="95">
        <v>1</v>
      </c>
      <c r="B5" s="95" t="s">
        <v>73</v>
      </c>
      <c r="C5" s="94">
        <v>220</v>
      </c>
      <c r="D5" s="94"/>
      <c r="E5" s="94">
        <f>C5+D5</f>
        <v>220</v>
      </c>
    </row>
    <row r="6" spans="1:5">
      <c r="A6" s="91">
        <v>2</v>
      </c>
      <c r="B6" s="95" t="s">
        <v>74</v>
      </c>
      <c r="C6" s="94">
        <v>1500</v>
      </c>
      <c r="D6" s="93"/>
      <c r="E6" s="94">
        <f t="shared" ref="E6:E45" si="0">C6+D6</f>
        <v>1500</v>
      </c>
    </row>
    <row r="7" spans="1:5">
      <c r="A7" s="91">
        <v>3</v>
      </c>
      <c r="B7" s="95" t="s">
        <v>75</v>
      </c>
      <c r="C7" s="93">
        <v>9971.08</v>
      </c>
      <c r="D7" s="93"/>
      <c r="E7" s="94">
        <f>C7+D7</f>
        <v>9971.08</v>
      </c>
    </row>
    <row r="8" spans="1:5">
      <c r="A8" s="91">
        <v>17</v>
      </c>
      <c r="B8" s="95" t="s">
        <v>76</v>
      </c>
      <c r="C8" s="94">
        <v>636.67999999999995</v>
      </c>
      <c r="D8" s="93"/>
      <c r="E8" s="94">
        <f t="shared" si="0"/>
        <v>636.67999999999995</v>
      </c>
    </row>
    <row r="9" spans="1:5">
      <c r="A9" s="91">
        <v>20</v>
      </c>
      <c r="B9" s="95" t="s">
        <v>77</v>
      </c>
      <c r="C9" s="94">
        <v>500</v>
      </c>
      <c r="D9" s="93"/>
      <c r="E9" s="94">
        <f t="shared" si="0"/>
        <v>500</v>
      </c>
    </row>
    <row r="10" spans="1:5">
      <c r="A10" s="95">
        <v>51</v>
      </c>
      <c r="B10" s="95" t="s">
        <v>78</v>
      </c>
      <c r="C10" s="94">
        <v>10100</v>
      </c>
      <c r="D10" s="93"/>
      <c r="E10" s="94">
        <f t="shared" si="0"/>
        <v>10100</v>
      </c>
    </row>
    <row r="11" spans="1:5">
      <c r="A11" s="95">
        <v>69</v>
      </c>
      <c r="B11" s="95" t="s">
        <v>79</v>
      </c>
      <c r="C11" s="94">
        <v>4000</v>
      </c>
      <c r="D11" s="93"/>
      <c r="E11" s="94">
        <f t="shared" si="0"/>
        <v>4000</v>
      </c>
    </row>
    <row r="12" spans="1:5">
      <c r="A12" s="95">
        <v>79</v>
      </c>
      <c r="B12" s="95" t="s">
        <v>80</v>
      </c>
      <c r="C12" s="94">
        <v>0</v>
      </c>
      <c r="D12" s="93"/>
      <c r="E12" s="94">
        <f t="shared" si="0"/>
        <v>0</v>
      </c>
    </row>
    <row r="13" spans="1:5">
      <c r="A13" s="95">
        <v>106</v>
      </c>
      <c r="B13" s="95" t="s">
        <v>81</v>
      </c>
      <c r="C13" s="94">
        <v>500</v>
      </c>
      <c r="D13" s="93"/>
      <c r="E13" s="94">
        <f t="shared" si="0"/>
        <v>500</v>
      </c>
    </row>
    <row r="14" spans="1:5">
      <c r="A14" s="95">
        <v>109</v>
      </c>
      <c r="B14" s="95" t="s">
        <v>82</v>
      </c>
      <c r="C14" s="94">
        <v>100</v>
      </c>
      <c r="D14" s="93"/>
      <c r="E14" s="94">
        <f t="shared" si="0"/>
        <v>100</v>
      </c>
    </row>
    <row r="15" spans="1:5">
      <c r="A15" s="95">
        <v>110</v>
      </c>
      <c r="B15" s="95" t="s">
        <v>83</v>
      </c>
      <c r="C15" s="94">
        <v>6000</v>
      </c>
      <c r="D15" s="93"/>
      <c r="E15" s="94">
        <f t="shared" si="0"/>
        <v>6000</v>
      </c>
    </row>
    <row r="16" spans="1:5">
      <c r="A16" s="95">
        <v>116</v>
      </c>
      <c r="B16" s="95" t="s">
        <v>84</v>
      </c>
      <c r="C16" s="94">
        <v>500</v>
      </c>
      <c r="D16" s="93"/>
      <c r="E16" s="94">
        <f t="shared" si="0"/>
        <v>500</v>
      </c>
    </row>
    <row r="17" spans="1:5">
      <c r="A17" s="95">
        <v>120</v>
      </c>
      <c r="B17" s="95" t="s">
        <v>85</v>
      </c>
      <c r="C17" s="94">
        <v>97.3</v>
      </c>
      <c r="D17" s="93"/>
      <c r="E17" s="94">
        <f t="shared" si="0"/>
        <v>97.3</v>
      </c>
    </row>
    <row r="18" spans="1:5">
      <c r="A18" s="95">
        <v>123</v>
      </c>
      <c r="B18" s="95" t="s">
        <v>86</v>
      </c>
      <c r="C18" s="94">
        <v>300</v>
      </c>
      <c r="D18" s="93"/>
      <c r="E18" s="94">
        <f t="shared" si="0"/>
        <v>300</v>
      </c>
    </row>
    <row r="19" spans="1:5">
      <c r="A19" s="95">
        <v>124</v>
      </c>
      <c r="B19" s="95" t="s">
        <v>87</v>
      </c>
      <c r="C19" s="94">
        <v>500</v>
      </c>
      <c r="D19" s="93"/>
      <c r="E19" s="94">
        <f t="shared" si="0"/>
        <v>500</v>
      </c>
    </row>
    <row r="20" spans="1:5">
      <c r="A20" s="95">
        <v>125</v>
      </c>
      <c r="B20" s="95" t="s">
        <v>88</v>
      </c>
      <c r="C20" s="94">
        <v>142.13</v>
      </c>
      <c r="D20" s="93"/>
      <c r="E20" s="94">
        <f t="shared" si="0"/>
        <v>142.13</v>
      </c>
    </row>
    <row r="21" spans="1:5">
      <c r="A21" s="95">
        <v>129</v>
      </c>
      <c r="B21" s="95" t="s">
        <v>89</v>
      </c>
      <c r="C21" s="94">
        <v>0</v>
      </c>
      <c r="D21" s="93"/>
      <c r="E21" s="94">
        <f t="shared" si="0"/>
        <v>0</v>
      </c>
    </row>
    <row r="22" spans="1:5">
      <c r="A22" s="95">
        <v>132</v>
      </c>
      <c r="B22" s="95" t="s">
        <v>90</v>
      </c>
      <c r="C22" s="94">
        <v>700</v>
      </c>
      <c r="D22" s="93"/>
      <c r="E22" s="94">
        <f t="shared" si="0"/>
        <v>700</v>
      </c>
    </row>
    <row r="23" spans="1:5">
      <c r="A23" s="95">
        <v>137</v>
      </c>
      <c r="B23" s="95" t="s">
        <v>91</v>
      </c>
      <c r="C23" s="94">
        <v>27.83</v>
      </c>
      <c r="D23" s="93"/>
      <c r="E23" s="94">
        <f t="shared" si="0"/>
        <v>27.83</v>
      </c>
    </row>
    <row r="24" spans="1:5">
      <c r="A24" s="95">
        <v>139</v>
      </c>
      <c r="B24" s="95" t="s">
        <v>92</v>
      </c>
      <c r="C24" s="94">
        <v>705.79</v>
      </c>
      <c r="D24" s="93"/>
      <c r="E24" s="94">
        <f t="shared" si="0"/>
        <v>705.79</v>
      </c>
    </row>
    <row r="25" spans="1:5">
      <c r="A25" s="91">
        <v>140</v>
      </c>
      <c r="B25" s="95" t="s">
        <v>93</v>
      </c>
      <c r="C25" s="94">
        <v>1500</v>
      </c>
      <c r="D25" s="93"/>
      <c r="E25" s="94">
        <f t="shared" si="0"/>
        <v>1500</v>
      </c>
    </row>
    <row r="26" spans="1:5">
      <c r="A26" s="91">
        <v>142</v>
      </c>
      <c r="B26" s="95" t="s">
        <v>94</v>
      </c>
      <c r="C26" s="93">
        <v>414.08</v>
      </c>
      <c r="D26" s="93"/>
      <c r="E26" s="94">
        <f t="shared" si="0"/>
        <v>414.08</v>
      </c>
    </row>
    <row r="27" spans="1:5">
      <c r="A27" s="91">
        <v>143</v>
      </c>
      <c r="B27" s="95" t="s">
        <v>95</v>
      </c>
      <c r="C27" s="93">
        <v>500</v>
      </c>
      <c r="D27" s="93"/>
      <c r="E27" s="94">
        <f t="shared" si="0"/>
        <v>500</v>
      </c>
    </row>
    <row r="28" spans="1:5">
      <c r="A28" s="91">
        <v>146</v>
      </c>
      <c r="B28" s="95" t="s">
        <v>96</v>
      </c>
      <c r="C28" s="93">
        <v>6660.69</v>
      </c>
      <c r="D28" s="93"/>
      <c r="E28" s="94">
        <f t="shared" si="0"/>
        <v>6660.69</v>
      </c>
    </row>
    <row r="29" spans="1:5">
      <c r="A29" s="91">
        <v>147</v>
      </c>
      <c r="B29" s="95" t="s">
        <v>97</v>
      </c>
      <c r="C29" s="93">
        <v>600</v>
      </c>
      <c r="D29" s="93"/>
      <c r="E29" s="94">
        <f t="shared" si="0"/>
        <v>600</v>
      </c>
    </row>
    <row r="30" spans="1:5">
      <c r="A30" s="91">
        <v>148</v>
      </c>
      <c r="B30" s="95" t="s">
        <v>98</v>
      </c>
      <c r="C30" s="93">
        <v>497.1</v>
      </c>
      <c r="D30" s="93"/>
      <c r="E30" s="94">
        <f t="shared" si="0"/>
        <v>497.1</v>
      </c>
    </row>
    <row r="31" spans="1:5">
      <c r="A31" s="91">
        <v>149</v>
      </c>
      <c r="B31" s="95" t="s">
        <v>99</v>
      </c>
      <c r="C31" s="93">
        <v>466.68</v>
      </c>
      <c r="D31" s="93"/>
      <c r="E31" s="94">
        <f t="shared" si="0"/>
        <v>466.68</v>
      </c>
    </row>
    <row r="32" spans="1:5">
      <c r="A32" s="91">
        <v>150</v>
      </c>
      <c r="B32" s="95" t="s">
        <v>100</v>
      </c>
      <c r="C32" s="93">
        <v>649.20000000000005</v>
      </c>
      <c r="D32" s="93"/>
      <c r="E32" s="94">
        <f t="shared" si="0"/>
        <v>649.20000000000005</v>
      </c>
    </row>
    <row r="33" spans="1:5" ht="25.5">
      <c r="A33" s="111">
        <v>151</v>
      </c>
      <c r="B33" s="112" t="s">
        <v>101</v>
      </c>
      <c r="C33" s="113">
        <v>100</v>
      </c>
      <c r="D33" s="113"/>
      <c r="E33" s="96">
        <f t="shared" si="0"/>
        <v>100</v>
      </c>
    </row>
    <row r="34" spans="1:5">
      <c r="A34" s="91">
        <v>152</v>
      </c>
      <c r="B34" s="95" t="s">
        <v>102</v>
      </c>
      <c r="C34" s="93">
        <v>600</v>
      </c>
      <c r="D34" s="93"/>
      <c r="E34" s="94">
        <f t="shared" si="0"/>
        <v>600</v>
      </c>
    </row>
    <row r="35" spans="1:5">
      <c r="A35" s="91">
        <v>153</v>
      </c>
      <c r="B35" s="95" t="s">
        <v>103</v>
      </c>
      <c r="C35" s="93">
        <v>375</v>
      </c>
      <c r="D35" s="93"/>
      <c r="E35" s="94">
        <f t="shared" si="0"/>
        <v>375</v>
      </c>
    </row>
    <row r="36" spans="1:5">
      <c r="A36" s="91">
        <v>154</v>
      </c>
      <c r="B36" s="95" t="s">
        <v>104</v>
      </c>
      <c r="C36" s="93">
        <v>375</v>
      </c>
      <c r="D36" s="93"/>
      <c r="E36" s="94">
        <f t="shared" si="0"/>
        <v>375</v>
      </c>
    </row>
    <row r="37" spans="1:5">
      <c r="A37" s="91">
        <v>155</v>
      </c>
      <c r="B37" s="95" t="s">
        <v>105</v>
      </c>
      <c r="C37" s="93">
        <v>135.47</v>
      </c>
      <c r="D37" s="93"/>
      <c r="E37" s="94">
        <f t="shared" si="0"/>
        <v>135.47</v>
      </c>
    </row>
    <row r="38" spans="1:5">
      <c r="A38" s="91">
        <v>156</v>
      </c>
      <c r="B38" s="95" t="s">
        <v>106</v>
      </c>
      <c r="C38" s="93">
        <v>39.93</v>
      </c>
      <c r="D38" s="93"/>
      <c r="E38" s="94">
        <f t="shared" si="0"/>
        <v>39.93</v>
      </c>
    </row>
    <row r="39" spans="1:5">
      <c r="A39" s="91">
        <v>157</v>
      </c>
      <c r="B39" s="95" t="s">
        <v>107</v>
      </c>
      <c r="C39" s="93">
        <v>400</v>
      </c>
      <c r="D39" s="93"/>
      <c r="E39" s="94">
        <f t="shared" si="0"/>
        <v>400</v>
      </c>
    </row>
    <row r="40" spans="1:5">
      <c r="A40" s="91">
        <v>158</v>
      </c>
      <c r="B40" s="95" t="s">
        <v>108</v>
      </c>
      <c r="C40" s="93">
        <v>0</v>
      </c>
      <c r="D40" s="93"/>
      <c r="E40" s="94">
        <f t="shared" si="0"/>
        <v>0</v>
      </c>
    </row>
    <row r="41" spans="1:5">
      <c r="A41" s="91">
        <v>159</v>
      </c>
      <c r="B41" s="95" t="s">
        <v>109</v>
      </c>
      <c r="C41" s="93">
        <v>2600</v>
      </c>
      <c r="D41" s="93"/>
      <c r="E41" s="94">
        <f t="shared" si="0"/>
        <v>2600</v>
      </c>
    </row>
    <row r="42" spans="1:5">
      <c r="A42" s="91">
        <v>160</v>
      </c>
      <c r="B42" s="95" t="s">
        <v>110</v>
      </c>
      <c r="C42" s="93">
        <v>120</v>
      </c>
      <c r="D42" s="93"/>
      <c r="E42" s="94">
        <f t="shared" si="0"/>
        <v>120</v>
      </c>
    </row>
    <row r="43" spans="1:5">
      <c r="A43" s="91">
        <v>161</v>
      </c>
      <c r="B43" s="95" t="s">
        <v>111</v>
      </c>
      <c r="C43" s="93">
        <v>91.96</v>
      </c>
      <c r="D43" s="93"/>
      <c r="E43" s="94">
        <f t="shared" si="0"/>
        <v>91.96</v>
      </c>
    </row>
    <row r="44" spans="1:5">
      <c r="A44" s="91">
        <v>162</v>
      </c>
      <c r="B44" s="95" t="s">
        <v>112</v>
      </c>
      <c r="C44" s="93">
        <v>45.98</v>
      </c>
      <c r="D44" s="93"/>
      <c r="E44" s="94">
        <f t="shared" si="0"/>
        <v>45.98</v>
      </c>
    </row>
    <row r="45" spans="1:5">
      <c r="A45" s="91">
        <v>163</v>
      </c>
      <c r="B45" s="95" t="s">
        <v>113</v>
      </c>
      <c r="C45" s="93">
        <v>500</v>
      </c>
      <c r="D45" s="93"/>
      <c r="E45" s="94">
        <f t="shared" si="0"/>
        <v>500</v>
      </c>
    </row>
    <row r="46" spans="1:5">
      <c r="A46" s="91"/>
      <c r="B46" s="95" t="s">
        <v>114</v>
      </c>
      <c r="C46" s="93">
        <v>120</v>
      </c>
      <c r="D46" s="93"/>
      <c r="E46" s="94">
        <v>120</v>
      </c>
    </row>
    <row r="47" spans="1:5">
      <c r="A47" s="91"/>
      <c r="B47" s="95" t="s">
        <v>115</v>
      </c>
      <c r="C47" s="93">
        <v>100</v>
      </c>
      <c r="D47" s="93"/>
      <c r="E47" s="94">
        <v>100</v>
      </c>
    </row>
    <row r="48" spans="1:5">
      <c r="A48" s="91"/>
      <c r="B48" s="95" t="s">
        <v>116</v>
      </c>
      <c r="C48" s="93">
        <v>500</v>
      </c>
      <c r="D48" s="93"/>
      <c r="E48" s="94">
        <v>500</v>
      </c>
    </row>
    <row r="49" spans="1:14">
      <c r="A49" s="91"/>
      <c r="B49" s="95"/>
      <c r="C49" s="93"/>
      <c r="D49" s="93"/>
      <c r="E49" s="94"/>
    </row>
    <row r="50" spans="1:14">
      <c r="A50" s="91"/>
      <c r="B50" s="101" t="s">
        <v>20</v>
      </c>
      <c r="C50" s="92">
        <f>SUM(C1:C49)</f>
        <v>53891.900000000009</v>
      </c>
      <c r="D50" s="92">
        <f>SUM(D1:D49)</f>
        <v>0</v>
      </c>
      <c r="E50" s="92">
        <f>SUM(E4:E49)</f>
        <v>53891.900000000009</v>
      </c>
    </row>
    <row r="51" spans="1:14">
      <c r="A51" s="90"/>
      <c r="B51" s="90"/>
      <c r="C51" s="89"/>
    </row>
    <row r="52" spans="1:14" s="99" customFormat="1">
      <c r="A52" s="669"/>
      <c r="B52" s="669"/>
      <c r="C52" s="669"/>
      <c r="D52" s="669"/>
      <c r="E52" s="669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1:14" s="99" customFormat="1">
      <c r="A53" s="115"/>
      <c r="B53" s="115"/>
      <c r="C53" s="109"/>
      <c r="D53" s="100"/>
    </row>
    <row r="54" spans="1:14" s="99" customFormat="1" ht="15.75" customHeight="1">
      <c r="A54" s="667"/>
      <c r="B54" s="669"/>
      <c r="C54" s="669"/>
      <c r="D54" s="669"/>
      <c r="E54" s="669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4" s="99" customFormat="1">
      <c r="A55" s="669"/>
      <c r="B55" s="669"/>
      <c r="C55" s="669"/>
      <c r="D55" s="669"/>
      <c r="E55" s="669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4" ht="26.25" customHeight="1">
      <c r="A56" s="667"/>
      <c r="B56" s="667"/>
      <c r="C56" s="667"/>
      <c r="D56" s="667"/>
      <c r="E56" s="667"/>
      <c r="F56" s="87"/>
      <c r="I56" s="87"/>
      <c r="J56" s="87"/>
      <c r="K56" s="87"/>
      <c r="L56" s="87"/>
      <c r="M56" s="87"/>
    </row>
    <row r="57" spans="1:14">
      <c r="A57" s="99"/>
      <c r="B57" s="87"/>
      <c r="E57" s="87"/>
      <c r="F57" s="87"/>
      <c r="I57" s="87"/>
      <c r="J57" s="87"/>
      <c r="K57" s="87"/>
      <c r="L57" s="87"/>
      <c r="M57" s="87"/>
    </row>
    <row r="58" spans="1:14" ht="26.25" customHeight="1">
      <c r="A58" s="667"/>
      <c r="B58" s="667"/>
      <c r="C58" s="667"/>
      <c r="D58" s="667"/>
      <c r="E58" s="667"/>
      <c r="F58" s="87"/>
      <c r="I58" s="87"/>
      <c r="J58" s="87"/>
      <c r="K58" s="87"/>
      <c r="L58" s="87"/>
      <c r="M58" s="87"/>
    </row>
    <row r="59" spans="1:14">
      <c r="A59" s="99"/>
      <c r="B59" s="87"/>
      <c r="E59" s="87"/>
      <c r="F59" s="87"/>
      <c r="I59" s="87"/>
      <c r="J59" s="87"/>
      <c r="K59" s="87"/>
      <c r="L59" s="87"/>
      <c r="M59" s="87"/>
    </row>
    <row r="60" spans="1:14" ht="26.25" customHeight="1">
      <c r="A60" s="667"/>
      <c r="B60" s="667"/>
      <c r="C60" s="667"/>
      <c r="D60" s="667"/>
      <c r="E60" s="667"/>
      <c r="F60" s="87"/>
      <c r="I60" s="87"/>
      <c r="J60" s="87"/>
      <c r="K60" s="87"/>
      <c r="L60" s="87"/>
      <c r="M60" s="87"/>
    </row>
    <row r="61" spans="1:14">
      <c r="A61" s="99"/>
      <c r="B61" s="87"/>
      <c r="E61" s="87"/>
      <c r="F61" s="87"/>
      <c r="I61" s="87"/>
      <c r="J61" s="87"/>
      <c r="K61" s="87"/>
      <c r="L61" s="87"/>
      <c r="M61" s="87"/>
    </row>
    <row r="62" spans="1:14" ht="26.25" customHeight="1">
      <c r="A62" s="667"/>
      <c r="B62" s="667"/>
      <c r="C62" s="667"/>
      <c r="D62" s="667"/>
      <c r="E62" s="667"/>
      <c r="F62" s="87"/>
      <c r="I62" s="87"/>
      <c r="J62" s="87"/>
      <c r="K62" s="87"/>
      <c r="L62" s="87"/>
      <c r="M62" s="87"/>
    </row>
    <row r="63" spans="1:14">
      <c r="A63" s="99"/>
      <c r="B63" s="87"/>
      <c r="E63" s="87"/>
      <c r="F63" s="87"/>
      <c r="I63" s="87"/>
      <c r="J63" s="87"/>
      <c r="K63" s="87"/>
      <c r="L63" s="87"/>
      <c r="M63" s="87"/>
    </row>
    <row r="64" spans="1:14" ht="26.25" customHeight="1">
      <c r="A64" s="667"/>
      <c r="B64" s="667"/>
      <c r="C64" s="667"/>
      <c r="D64" s="667"/>
      <c r="E64" s="667"/>
      <c r="F64" s="87"/>
      <c r="I64" s="87"/>
      <c r="J64" s="87"/>
      <c r="K64" s="87"/>
      <c r="L64" s="87"/>
      <c r="M64" s="87"/>
    </row>
    <row r="65" spans="1:14">
      <c r="A65" s="99"/>
      <c r="B65" s="87"/>
      <c r="E65" s="87"/>
      <c r="F65" s="87"/>
      <c r="I65" s="87"/>
      <c r="J65" s="87"/>
      <c r="K65" s="87"/>
      <c r="L65" s="87"/>
      <c r="M65" s="87"/>
    </row>
    <row r="66" spans="1:14" ht="26.25" customHeight="1">
      <c r="A66" s="667"/>
      <c r="B66" s="667"/>
      <c r="C66" s="667"/>
      <c r="D66" s="667"/>
      <c r="E66" s="667"/>
      <c r="F66" s="87"/>
      <c r="I66" s="87"/>
      <c r="J66" s="87"/>
      <c r="K66" s="87"/>
      <c r="L66" s="87"/>
      <c r="M66" s="87"/>
    </row>
    <row r="67" spans="1:14">
      <c r="A67" s="99"/>
      <c r="B67" s="87"/>
      <c r="E67" s="87"/>
      <c r="F67" s="87"/>
      <c r="I67" s="87"/>
      <c r="J67" s="87"/>
      <c r="K67" s="87"/>
      <c r="L67" s="87"/>
      <c r="M67" s="87"/>
    </row>
    <row r="68" spans="1:14" ht="26.25" customHeight="1">
      <c r="A68" s="667"/>
      <c r="B68" s="667"/>
      <c r="C68" s="667"/>
      <c r="D68" s="667"/>
      <c r="E68" s="667"/>
      <c r="F68" s="87"/>
      <c r="I68" s="87"/>
      <c r="J68" s="87"/>
      <c r="K68" s="87"/>
      <c r="L68" s="87"/>
      <c r="M68" s="87"/>
    </row>
    <row r="69" spans="1:14">
      <c r="A69" s="99"/>
      <c r="B69" s="87"/>
      <c r="E69" s="87"/>
      <c r="F69" s="87"/>
      <c r="I69" s="87"/>
      <c r="J69" s="87"/>
      <c r="K69" s="87"/>
      <c r="L69" s="87"/>
      <c r="M69" s="87"/>
    </row>
    <row r="70" spans="1:14" ht="26.25" customHeight="1">
      <c r="A70" s="667"/>
      <c r="B70" s="667"/>
      <c r="C70" s="667"/>
      <c r="D70" s="667"/>
      <c r="E70" s="667"/>
      <c r="F70" s="87"/>
      <c r="I70" s="87"/>
      <c r="J70" s="87"/>
      <c r="K70" s="87"/>
      <c r="L70" s="87"/>
      <c r="M70" s="87"/>
    </row>
    <row r="71" spans="1:14">
      <c r="A71" s="99"/>
      <c r="B71" s="87"/>
      <c r="E71" s="87"/>
      <c r="F71" s="87"/>
      <c r="I71" s="87"/>
      <c r="J71" s="87"/>
      <c r="K71" s="87"/>
      <c r="L71" s="87"/>
      <c r="M71" s="87"/>
    </row>
    <row r="72" spans="1:14">
      <c r="A72" s="669"/>
      <c r="B72" s="669"/>
      <c r="C72" s="669"/>
      <c r="D72" s="669"/>
      <c r="E72" s="669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>
      <c r="A73" s="99"/>
      <c r="B73" s="87"/>
      <c r="E73" s="87"/>
      <c r="F73" s="87"/>
      <c r="I73" s="87"/>
      <c r="J73" s="87"/>
      <c r="K73" s="87"/>
      <c r="L73" s="87"/>
      <c r="M73" s="87"/>
    </row>
    <row r="74" spans="1:14">
      <c r="A74" s="669"/>
      <c r="B74" s="669"/>
      <c r="C74" s="669"/>
      <c r="D74" s="669"/>
      <c r="E74" s="669"/>
      <c r="F74" s="87"/>
      <c r="I74" s="87"/>
      <c r="J74" s="87"/>
      <c r="K74" s="87"/>
      <c r="L74" s="87"/>
      <c r="M74" s="87"/>
    </row>
    <row r="75" spans="1:14">
      <c r="A75" s="99"/>
      <c r="B75" s="87"/>
      <c r="E75" s="87"/>
      <c r="F75" s="87"/>
      <c r="I75" s="87"/>
      <c r="J75" s="87"/>
      <c r="K75" s="87"/>
      <c r="L75" s="87"/>
      <c r="M75" s="87"/>
    </row>
    <row r="76" spans="1:14" ht="14.25" customHeight="1">
      <c r="A76" s="667"/>
      <c r="B76" s="667"/>
      <c r="C76" s="667"/>
      <c r="D76" s="667"/>
      <c r="E76" s="667"/>
      <c r="F76" s="87"/>
      <c r="I76" s="87"/>
      <c r="J76" s="87"/>
      <c r="K76" s="87"/>
      <c r="L76" s="87"/>
      <c r="M76" s="87"/>
    </row>
    <row r="77" spans="1:14">
      <c r="A77" s="99"/>
      <c r="B77" s="87"/>
      <c r="E77" s="87"/>
      <c r="F77" s="87"/>
      <c r="I77" s="87"/>
      <c r="J77" s="87"/>
      <c r="K77" s="87"/>
      <c r="L77" s="87"/>
      <c r="M77" s="87"/>
    </row>
    <row r="78" spans="1:14" ht="14.25" customHeight="1">
      <c r="A78" s="667"/>
      <c r="B78" s="667"/>
      <c r="C78" s="667"/>
      <c r="D78" s="667"/>
      <c r="E78" s="667"/>
      <c r="F78" s="87"/>
      <c r="I78" s="87"/>
      <c r="J78" s="87"/>
      <c r="K78" s="87"/>
      <c r="L78" s="87"/>
      <c r="M78" s="87"/>
    </row>
    <row r="79" spans="1:14">
      <c r="A79" s="99"/>
      <c r="B79" s="87"/>
      <c r="E79" s="87"/>
      <c r="F79" s="87"/>
      <c r="I79" s="87"/>
      <c r="J79" s="87"/>
      <c r="K79" s="87"/>
      <c r="L79" s="87"/>
      <c r="M79" s="87"/>
    </row>
    <row r="80" spans="1:14" ht="14.25" customHeight="1">
      <c r="A80" s="667"/>
      <c r="B80" s="667"/>
      <c r="C80" s="667"/>
      <c r="D80" s="667"/>
      <c r="E80" s="667"/>
      <c r="F80" s="87"/>
      <c r="I80" s="87"/>
      <c r="J80" s="87"/>
      <c r="K80" s="87"/>
      <c r="L80" s="87"/>
      <c r="M80" s="87"/>
    </row>
    <row r="82" spans="1:13" ht="14.25" customHeight="1">
      <c r="A82" s="667"/>
      <c r="B82" s="667"/>
      <c r="C82" s="667"/>
      <c r="D82" s="667"/>
      <c r="E82" s="667"/>
      <c r="F82" s="87"/>
      <c r="I82" s="87"/>
      <c r="J82" s="87"/>
      <c r="K82" s="87"/>
      <c r="L82" s="87"/>
      <c r="M82" s="87"/>
    </row>
    <row r="84" spans="1:13" ht="14.25" customHeight="1">
      <c r="A84" s="667"/>
      <c r="B84" s="667"/>
      <c r="C84" s="667"/>
      <c r="D84" s="667"/>
      <c r="E84" s="667"/>
      <c r="F84" s="87"/>
      <c r="I84" s="87"/>
      <c r="J84" s="87"/>
      <c r="K84" s="87"/>
      <c r="L84" s="87"/>
      <c r="M84" s="87"/>
    </row>
    <row r="86" spans="1:13" ht="14.25" customHeight="1">
      <c r="A86" s="667"/>
      <c r="B86" s="667"/>
      <c r="C86" s="667"/>
      <c r="D86" s="667"/>
      <c r="E86" s="667"/>
      <c r="F86" s="87"/>
      <c r="I86" s="87"/>
      <c r="J86" s="87"/>
      <c r="K86" s="87"/>
      <c r="L86" s="87"/>
      <c r="M86" s="87"/>
    </row>
    <row r="88" spans="1:13" ht="14.25" customHeight="1">
      <c r="A88" s="667"/>
      <c r="B88" s="667"/>
      <c r="C88" s="667"/>
      <c r="D88" s="667"/>
      <c r="E88" s="667"/>
      <c r="F88" s="87"/>
      <c r="I88" s="87"/>
      <c r="J88" s="87"/>
      <c r="K88" s="87"/>
      <c r="L88" s="87"/>
      <c r="M88" s="87"/>
    </row>
    <row r="90" spans="1:13" ht="14.25" customHeight="1">
      <c r="A90" s="667"/>
      <c r="B90" s="667"/>
      <c r="C90" s="667"/>
      <c r="D90" s="667"/>
      <c r="E90" s="667"/>
      <c r="F90" s="87"/>
      <c r="I90" s="87"/>
      <c r="J90" s="87"/>
      <c r="K90" s="87"/>
      <c r="L90" s="87"/>
      <c r="M90" s="87"/>
    </row>
    <row r="92" spans="1:13" ht="14.25" customHeight="1">
      <c r="A92" s="667"/>
      <c r="B92" s="667"/>
      <c r="C92" s="667"/>
      <c r="D92" s="667"/>
      <c r="E92" s="667"/>
      <c r="F92" s="87"/>
      <c r="I92" s="87"/>
      <c r="J92" s="87"/>
      <c r="K92" s="87"/>
      <c r="L92" s="87"/>
      <c r="M92" s="87"/>
    </row>
    <row r="94" spans="1:13" ht="14.25" customHeight="1">
      <c r="A94" s="667"/>
      <c r="B94" s="667"/>
      <c r="C94" s="667"/>
      <c r="D94" s="667"/>
      <c r="E94" s="667"/>
      <c r="F94" s="87"/>
      <c r="I94" s="87"/>
      <c r="J94" s="87"/>
      <c r="K94" s="87"/>
      <c r="L94" s="87"/>
      <c r="M94" s="87"/>
    </row>
    <row r="96" spans="1:13">
      <c r="A96" s="667"/>
      <c r="B96" s="668"/>
      <c r="C96" s="668"/>
      <c r="D96" s="668"/>
      <c r="E96" s="668"/>
    </row>
  </sheetData>
  <mergeCells count="24">
    <mergeCell ref="A72:E72"/>
    <mergeCell ref="A52:E52"/>
    <mergeCell ref="A54:E54"/>
    <mergeCell ref="A55:E55"/>
    <mergeCell ref="A56:E56"/>
    <mergeCell ref="A58:E58"/>
    <mergeCell ref="A60:E60"/>
    <mergeCell ref="A62:E62"/>
    <mergeCell ref="A64:E64"/>
    <mergeCell ref="A66:E66"/>
    <mergeCell ref="A68:E68"/>
    <mergeCell ref="A70:E70"/>
    <mergeCell ref="A96:E96"/>
    <mergeCell ref="A74:E74"/>
    <mergeCell ref="A76:E76"/>
    <mergeCell ref="A78:E78"/>
    <mergeCell ref="A80:E80"/>
    <mergeCell ref="A82:E82"/>
    <mergeCell ref="A84:E84"/>
    <mergeCell ref="A86:E86"/>
    <mergeCell ref="A88:E88"/>
    <mergeCell ref="A90:E90"/>
    <mergeCell ref="A92:E92"/>
    <mergeCell ref="A94:E9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A62" sqref="A62:D62"/>
    </sheetView>
  </sheetViews>
  <sheetFormatPr defaultRowHeight="12.75"/>
  <cols>
    <col min="1" max="1" width="45.7109375" style="69" customWidth="1"/>
    <col min="2" max="2" width="13.5703125" style="5" customWidth="1"/>
    <col min="3" max="3" width="13.140625" style="5" customWidth="1"/>
    <col min="4" max="4" width="12.85546875" style="5" customWidth="1"/>
    <col min="5" max="5" width="12.5703125" style="69" customWidth="1"/>
    <col min="6" max="256" width="9.140625" style="69"/>
    <col min="257" max="257" width="45.7109375" style="69" customWidth="1"/>
    <col min="258" max="258" width="13.5703125" style="69" customWidth="1"/>
    <col min="259" max="259" width="13.140625" style="69" customWidth="1"/>
    <col min="260" max="260" width="12.85546875" style="69" customWidth="1"/>
    <col min="261" max="261" width="12.5703125" style="69" customWidth="1"/>
    <col min="262" max="512" width="9.140625" style="69"/>
    <col min="513" max="513" width="45.7109375" style="69" customWidth="1"/>
    <col min="514" max="514" width="13.5703125" style="69" customWidth="1"/>
    <col min="515" max="515" width="13.140625" style="69" customWidth="1"/>
    <col min="516" max="516" width="12.85546875" style="69" customWidth="1"/>
    <col min="517" max="517" width="12.5703125" style="69" customWidth="1"/>
    <col min="518" max="768" width="9.140625" style="69"/>
    <col min="769" max="769" width="45.7109375" style="69" customWidth="1"/>
    <col min="770" max="770" width="13.5703125" style="69" customWidth="1"/>
    <col min="771" max="771" width="13.140625" style="69" customWidth="1"/>
    <col min="772" max="772" width="12.85546875" style="69" customWidth="1"/>
    <col min="773" max="773" width="12.5703125" style="69" customWidth="1"/>
    <col min="774" max="1024" width="9.140625" style="69"/>
    <col min="1025" max="1025" width="45.7109375" style="69" customWidth="1"/>
    <col min="1026" max="1026" width="13.5703125" style="69" customWidth="1"/>
    <col min="1027" max="1027" width="13.140625" style="69" customWidth="1"/>
    <col min="1028" max="1028" width="12.85546875" style="69" customWidth="1"/>
    <col min="1029" max="1029" width="12.5703125" style="69" customWidth="1"/>
    <col min="1030" max="1280" width="9.140625" style="69"/>
    <col min="1281" max="1281" width="45.7109375" style="69" customWidth="1"/>
    <col min="1282" max="1282" width="13.5703125" style="69" customWidth="1"/>
    <col min="1283" max="1283" width="13.140625" style="69" customWidth="1"/>
    <col min="1284" max="1284" width="12.85546875" style="69" customWidth="1"/>
    <col min="1285" max="1285" width="12.5703125" style="69" customWidth="1"/>
    <col min="1286" max="1536" width="9.140625" style="69"/>
    <col min="1537" max="1537" width="45.7109375" style="69" customWidth="1"/>
    <col min="1538" max="1538" width="13.5703125" style="69" customWidth="1"/>
    <col min="1539" max="1539" width="13.140625" style="69" customWidth="1"/>
    <col min="1540" max="1540" width="12.85546875" style="69" customWidth="1"/>
    <col min="1541" max="1541" width="12.5703125" style="69" customWidth="1"/>
    <col min="1542" max="1792" width="9.140625" style="69"/>
    <col min="1793" max="1793" width="45.7109375" style="69" customWidth="1"/>
    <col min="1794" max="1794" width="13.5703125" style="69" customWidth="1"/>
    <col min="1795" max="1795" width="13.140625" style="69" customWidth="1"/>
    <col min="1796" max="1796" width="12.85546875" style="69" customWidth="1"/>
    <col min="1797" max="1797" width="12.5703125" style="69" customWidth="1"/>
    <col min="1798" max="2048" width="9.140625" style="69"/>
    <col min="2049" max="2049" width="45.7109375" style="69" customWidth="1"/>
    <col min="2050" max="2050" width="13.5703125" style="69" customWidth="1"/>
    <col min="2051" max="2051" width="13.140625" style="69" customWidth="1"/>
    <col min="2052" max="2052" width="12.85546875" style="69" customWidth="1"/>
    <col min="2053" max="2053" width="12.5703125" style="69" customWidth="1"/>
    <col min="2054" max="2304" width="9.140625" style="69"/>
    <col min="2305" max="2305" width="45.7109375" style="69" customWidth="1"/>
    <col min="2306" max="2306" width="13.5703125" style="69" customWidth="1"/>
    <col min="2307" max="2307" width="13.140625" style="69" customWidth="1"/>
    <col min="2308" max="2308" width="12.85546875" style="69" customWidth="1"/>
    <col min="2309" max="2309" width="12.5703125" style="69" customWidth="1"/>
    <col min="2310" max="2560" width="9.140625" style="69"/>
    <col min="2561" max="2561" width="45.7109375" style="69" customWidth="1"/>
    <col min="2562" max="2562" width="13.5703125" style="69" customWidth="1"/>
    <col min="2563" max="2563" width="13.140625" style="69" customWidth="1"/>
    <col min="2564" max="2564" width="12.85546875" style="69" customWidth="1"/>
    <col min="2565" max="2565" width="12.5703125" style="69" customWidth="1"/>
    <col min="2566" max="2816" width="9.140625" style="69"/>
    <col min="2817" max="2817" width="45.7109375" style="69" customWidth="1"/>
    <col min="2818" max="2818" width="13.5703125" style="69" customWidth="1"/>
    <col min="2819" max="2819" width="13.140625" style="69" customWidth="1"/>
    <col min="2820" max="2820" width="12.85546875" style="69" customWidth="1"/>
    <col min="2821" max="2821" width="12.5703125" style="69" customWidth="1"/>
    <col min="2822" max="3072" width="9.140625" style="69"/>
    <col min="3073" max="3073" width="45.7109375" style="69" customWidth="1"/>
    <col min="3074" max="3074" width="13.5703125" style="69" customWidth="1"/>
    <col min="3075" max="3075" width="13.140625" style="69" customWidth="1"/>
    <col min="3076" max="3076" width="12.85546875" style="69" customWidth="1"/>
    <col min="3077" max="3077" width="12.5703125" style="69" customWidth="1"/>
    <col min="3078" max="3328" width="9.140625" style="69"/>
    <col min="3329" max="3329" width="45.7109375" style="69" customWidth="1"/>
    <col min="3330" max="3330" width="13.5703125" style="69" customWidth="1"/>
    <col min="3331" max="3331" width="13.140625" style="69" customWidth="1"/>
    <col min="3332" max="3332" width="12.85546875" style="69" customWidth="1"/>
    <col min="3333" max="3333" width="12.5703125" style="69" customWidth="1"/>
    <col min="3334" max="3584" width="9.140625" style="69"/>
    <col min="3585" max="3585" width="45.7109375" style="69" customWidth="1"/>
    <col min="3586" max="3586" width="13.5703125" style="69" customWidth="1"/>
    <col min="3587" max="3587" width="13.140625" style="69" customWidth="1"/>
    <col min="3588" max="3588" width="12.85546875" style="69" customWidth="1"/>
    <col min="3589" max="3589" width="12.5703125" style="69" customWidth="1"/>
    <col min="3590" max="3840" width="9.140625" style="69"/>
    <col min="3841" max="3841" width="45.7109375" style="69" customWidth="1"/>
    <col min="3842" max="3842" width="13.5703125" style="69" customWidth="1"/>
    <col min="3843" max="3843" width="13.140625" style="69" customWidth="1"/>
    <col min="3844" max="3844" width="12.85546875" style="69" customWidth="1"/>
    <col min="3845" max="3845" width="12.5703125" style="69" customWidth="1"/>
    <col min="3846" max="4096" width="9.140625" style="69"/>
    <col min="4097" max="4097" width="45.7109375" style="69" customWidth="1"/>
    <col min="4098" max="4098" width="13.5703125" style="69" customWidth="1"/>
    <col min="4099" max="4099" width="13.140625" style="69" customWidth="1"/>
    <col min="4100" max="4100" width="12.85546875" style="69" customWidth="1"/>
    <col min="4101" max="4101" width="12.5703125" style="69" customWidth="1"/>
    <col min="4102" max="4352" width="9.140625" style="69"/>
    <col min="4353" max="4353" width="45.7109375" style="69" customWidth="1"/>
    <col min="4354" max="4354" width="13.5703125" style="69" customWidth="1"/>
    <col min="4355" max="4355" width="13.140625" style="69" customWidth="1"/>
    <col min="4356" max="4356" width="12.85546875" style="69" customWidth="1"/>
    <col min="4357" max="4357" width="12.5703125" style="69" customWidth="1"/>
    <col min="4358" max="4608" width="9.140625" style="69"/>
    <col min="4609" max="4609" width="45.7109375" style="69" customWidth="1"/>
    <col min="4610" max="4610" width="13.5703125" style="69" customWidth="1"/>
    <col min="4611" max="4611" width="13.140625" style="69" customWidth="1"/>
    <col min="4612" max="4612" width="12.85546875" style="69" customWidth="1"/>
    <col min="4613" max="4613" width="12.5703125" style="69" customWidth="1"/>
    <col min="4614" max="4864" width="9.140625" style="69"/>
    <col min="4865" max="4865" width="45.7109375" style="69" customWidth="1"/>
    <col min="4866" max="4866" width="13.5703125" style="69" customWidth="1"/>
    <col min="4867" max="4867" width="13.140625" style="69" customWidth="1"/>
    <col min="4868" max="4868" width="12.85546875" style="69" customWidth="1"/>
    <col min="4869" max="4869" width="12.5703125" style="69" customWidth="1"/>
    <col min="4870" max="5120" width="9.140625" style="69"/>
    <col min="5121" max="5121" width="45.7109375" style="69" customWidth="1"/>
    <col min="5122" max="5122" width="13.5703125" style="69" customWidth="1"/>
    <col min="5123" max="5123" width="13.140625" style="69" customWidth="1"/>
    <col min="5124" max="5124" width="12.85546875" style="69" customWidth="1"/>
    <col min="5125" max="5125" width="12.5703125" style="69" customWidth="1"/>
    <col min="5126" max="5376" width="9.140625" style="69"/>
    <col min="5377" max="5377" width="45.7109375" style="69" customWidth="1"/>
    <col min="5378" max="5378" width="13.5703125" style="69" customWidth="1"/>
    <col min="5379" max="5379" width="13.140625" style="69" customWidth="1"/>
    <col min="5380" max="5380" width="12.85546875" style="69" customWidth="1"/>
    <col min="5381" max="5381" width="12.5703125" style="69" customWidth="1"/>
    <col min="5382" max="5632" width="9.140625" style="69"/>
    <col min="5633" max="5633" width="45.7109375" style="69" customWidth="1"/>
    <col min="5634" max="5634" width="13.5703125" style="69" customWidth="1"/>
    <col min="5635" max="5635" width="13.140625" style="69" customWidth="1"/>
    <col min="5636" max="5636" width="12.85546875" style="69" customWidth="1"/>
    <col min="5637" max="5637" width="12.5703125" style="69" customWidth="1"/>
    <col min="5638" max="5888" width="9.140625" style="69"/>
    <col min="5889" max="5889" width="45.7109375" style="69" customWidth="1"/>
    <col min="5890" max="5890" width="13.5703125" style="69" customWidth="1"/>
    <col min="5891" max="5891" width="13.140625" style="69" customWidth="1"/>
    <col min="5892" max="5892" width="12.85546875" style="69" customWidth="1"/>
    <col min="5893" max="5893" width="12.5703125" style="69" customWidth="1"/>
    <col min="5894" max="6144" width="9.140625" style="69"/>
    <col min="6145" max="6145" width="45.7109375" style="69" customWidth="1"/>
    <col min="6146" max="6146" width="13.5703125" style="69" customWidth="1"/>
    <col min="6147" max="6147" width="13.140625" style="69" customWidth="1"/>
    <col min="6148" max="6148" width="12.85546875" style="69" customWidth="1"/>
    <col min="6149" max="6149" width="12.5703125" style="69" customWidth="1"/>
    <col min="6150" max="6400" width="9.140625" style="69"/>
    <col min="6401" max="6401" width="45.7109375" style="69" customWidth="1"/>
    <col min="6402" max="6402" width="13.5703125" style="69" customWidth="1"/>
    <col min="6403" max="6403" width="13.140625" style="69" customWidth="1"/>
    <col min="6404" max="6404" width="12.85546875" style="69" customWidth="1"/>
    <col min="6405" max="6405" width="12.5703125" style="69" customWidth="1"/>
    <col min="6406" max="6656" width="9.140625" style="69"/>
    <col min="6657" max="6657" width="45.7109375" style="69" customWidth="1"/>
    <col min="6658" max="6658" width="13.5703125" style="69" customWidth="1"/>
    <col min="6659" max="6659" width="13.140625" style="69" customWidth="1"/>
    <col min="6660" max="6660" width="12.85546875" style="69" customWidth="1"/>
    <col min="6661" max="6661" width="12.5703125" style="69" customWidth="1"/>
    <col min="6662" max="6912" width="9.140625" style="69"/>
    <col min="6913" max="6913" width="45.7109375" style="69" customWidth="1"/>
    <col min="6914" max="6914" width="13.5703125" style="69" customWidth="1"/>
    <col min="6915" max="6915" width="13.140625" style="69" customWidth="1"/>
    <col min="6916" max="6916" width="12.85546875" style="69" customWidth="1"/>
    <col min="6917" max="6917" width="12.5703125" style="69" customWidth="1"/>
    <col min="6918" max="7168" width="9.140625" style="69"/>
    <col min="7169" max="7169" width="45.7109375" style="69" customWidth="1"/>
    <col min="7170" max="7170" width="13.5703125" style="69" customWidth="1"/>
    <col min="7171" max="7171" width="13.140625" style="69" customWidth="1"/>
    <col min="7172" max="7172" width="12.85546875" style="69" customWidth="1"/>
    <col min="7173" max="7173" width="12.5703125" style="69" customWidth="1"/>
    <col min="7174" max="7424" width="9.140625" style="69"/>
    <col min="7425" max="7425" width="45.7109375" style="69" customWidth="1"/>
    <col min="7426" max="7426" width="13.5703125" style="69" customWidth="1"/>
    <col min="7427" max="7427" width="13.140625" style="69" customWidth="1"/>
    <col min="7428" max="7428" width="12.85546875" style="69" customWidth="1"/>
    <col min="7429" max="7429" width="12.5703125" style="69" customWidth="1"/>
    <col min="7430" max="7680" width="9.140625" style="69"/>
    <col min="7681" max="7681" width="45.7109375" style="69" customWidth="1"/>
    <col min="7682" max="7682" width="13.5703125" style="69" customWidth="1"/>
    <col min="7683" max="7683" width="13.140625" style="69" customWidth="1"/>
    <col min="7684" max="7684" width="12.85546875" style="69" customWidth="1"/>
    <col min="7685" max="7685" width="12.5703125" style="69" customWidth="1"/>
    <col min="7686" max="7936" width="9.140625" style="69"/>
    <col min="7937" max="7937" width="45.7109375" style="69" customWidth="1"/>
    <col min="7938" max="7938" width="13.5703125" style="69" customWidth="1"/>
    <col min="7939" max="7939" width="13.140625" style="69" customWidth="1"/>
    <col min="7940" max="7940" width="12.85546875" style="69" customWidth="1"/>
    <col min="7941" max="7941" width="12.5703125" style="69" customWidth="1"/>
    <col min="7942" max="8192" width="9.140625" style="69"/>
    <col min="8193" max="8193" width="45.7109375" style="69" customWidth="1"/>
    <col min="8194" max="8194" width="13.5703125" style="69" customWidth="1"/>
    <col min="8195" max="8195" width="13.140625" style="69" customWidth="1"/>
    <col min="8196" max="8196" width="12.85546875" style="69" customWidth="1"/>
    <col min="8197" max="8197" width="12.5703125" style="69" customWidth="1"/>
    <col min="8198" max="8448" width="9.140625" style="69"/>
    <col min="8449" max="8449" width="45.7109375" style="69" customWidth="1"/>
    <col min="8450" max="8450" width="13.5703125" style="69" customWidth="1"/>
    <col min="8451" max="8451" width="13.140625" style="69" customWidth="1"/>
    <col min="8452" max="8452" width="12.85546875" style="69" customWidth="1"/>
    <col min="8453" max="8453" width="12.5703125" style="69" customWidth="1"/>
    <col min="8454" max="8704" width="9.140625" style="69"/>
    <col min="8705" max="8705" width="45.7109375" style="69" customWidth="1"/>
    <col min="8706" max="8706" width="13.5703125" style="69" customWidth="1"/>
    <col min="8707" max="8707" width="13.140625" style="69" customWidth="1"/>
    <col min="8708" max="8708" width="12.85546875" style="69" customWidth="1"/>
    <col min="8709" max="8709" width="12.5703125" style="69" customWidth="1"/>
    <col min="8710" max="8960" width="9.140625" style="69"/>
    <col min="8961" max="8961" width="45.7109375" style="69" customWidth="1"/>
    <col min="8962" max="8962" width="13.5703125" style="69" customWidth="1"/>
    <col min="8963" max="8963" width="13.140625" style="69" customWidth="1"/>
    <col min="8964" max="8964" width="12.85546875" style="69" customWidth="1"/>
    <col min="8965" max="8965" width="12.5703125" style="69" customWidth="1"/>
    <col min="8966" max="9216" width="9.140625" style="69"/>
    <col min="9217" max="9217" width="45.7109375" style="69" customWidth="1"/>
    <col min="9218" max="9218" width="13.5703125" style="69" customWidth="1"/>
    <col min="9219" max="9219" width="13.140625" style="69" customWidth="1"/>
    <col min="9220" max="9220" width="12.85546875" style="69" customWidth="1"/>
    <col min="9221" max="9221" width="12.5703125" style="69" customWidth="1"/>
    <col min="9222" max="9472" width="9.140625" style="69"/>
    <col min="9473" max="9473" width="45.7109375" style="69" customWidth="1"/>
    <col min="9474" max="9474" width="13.5703125" style="69" customWidth="1"/>
    <col min="9475" max="9475" width="13.140625" style="69" customWidth="1"/>
    <col min="9476" max="9476" width="12.85546875" style="69" customWidth="1"/>
    <col min="9477" max="9477" width="12.5703125" style="69" customWidth="1"/>
    <col min="9478" max="9728" width="9.140625" style="69"/>
    <col min="9729" max="9729" width="45.7109375" style="69" customWidth="1"/>
    <col min="9730" max="9730" width="13.5703125" style="69" customWidth="1"/>
    <col min="9731" max="9731" width="13.140625" style="69" customWidth="1"/>
    <col min="9732" max="9732" width="12.85546875" style="69" customWidth="1"/>
    <col min="9733" max="9733" width="12.5703125" style="69" customWidth="1"/>
    <col min="9734" max="9984" width="9.140625" style="69"/>
    <col min="9985" max="9985" width="45.7109375" style="69" customWidth="1"/>
    <col min="9986" max="9986" width="13.5703125" style="69" customWidth="1"/>
    <col min="9987" max="9987" width="13.140625" style="69" customWidth="1"/>
    <col min="9988" max="9988" width="12.85546875" style="69" customWidth="1"/>
    <col min="9989" max="9989" width="12.5703125" style="69" customWidth="1"/>
    <col min="9990" max="10240" width="9.140625" style="69"/>
    <col min="10241" max="10241" width="45.7109375" style="69" customWidth="1"/>
    <col min="10242" max="10242" width="13.5703125" style="69" customWidth="1"/>
    <col min="10243" max="10243" width="13.140625" style="69" customWidth="1"/>
    <col min="10244" max="10244" width="12.85546875" style="69" customWidth="1"/>
    <col min="10245" max="10245" width="12.5703125" style="69" customWidth="1"/>
    <col min="10246" max="10496" width="9.140625" style="69"/>
    <col min="10497" max="10497" width="45.7109375" style="69" customWidth="1"/>
    <col min="10498" max="10498" width="13.5703125" style="69" customWidth="1"/>
    <col min="10499" max="10499" width="13.140625" style="69" customWidth="1"/>
    <col min="10500" max="10500" width="12.85546875" style="69" customWidth="1"/>
    <col min="10501" max="10501" width="12.5703125" style="69" customWidth="1"/>
    <col min="10502" max="10752" width="9.140625" style="69"/>
    <col min="10753" max="10753" width="45.7109375" style="69" customWidth="1"/>
    <col min="10754" max="10754" width="13.5703125" style="69" customWidth="1"/>
    <col min="10755" max="10755" width="13.140625" style="69" customWidth="1"/>
    <col min="10756" max="10756" width="12.85546875" style="69" customWidth="1"/>
    <col min="10757" max="10757" width="12.5703125" style="69" customWidth="1"/>
    <col min="10758" max="11008" width="9.140625" style="69"/>
    <col min="11009" max="11009" width="45.7109375" style="69" customWidth="1"/>
    <col min="11010" max="11010" width="13.5703125" style="69" customWidth="1"/>
    <col min="11011" max="11011" width="13.140625" style="69" customWidth="1"/>
    <col min="11012" max="11012" width="12.85546875" style="69" customWidth="1"/>
    <col min="11013" max="11013" width="12.5703125" style="69" customWidth="1"/>
    <col min="11014" max="11264" width="9.140625" style="69"/>
    <col min="11265" max="11265" width="45.7109375" style="69" customWidth="1"/>
    <col min="11266" max="11266" width="13.5703125" style="69" customWidth="1"/>
    <col min="11267" max="11267" width="13.140625" style="69" customWidth="1"/>
    <col min="11268" max="11268" width="12.85546875" style="69" customWidth="1"/>
    <col min="11269" max="11269" width="12.5703125" style="69" customWidth="1"/>
    <col min="11270" max="11520" width="9.140625" style="69"/>
    <col min="11521" max="11521" width="45.7109375" style="69" customWidth="1"/>
    <col min="11522" max="11522" width="13.5703125" style="69" customWidth="1"/>
    <col min="11523" max="11523" width="13.140625" style="69" customWidth="1"/>
    <col min="11524" max="11524" width="12.85546875" style="69" customWidth="1"/>
    <col min="11525" max="11525" width="12.5703125" style="69" customWidth="1"/>
    <col min="11526" max="11776" width="9.140625" style="69"/>
    <col min="11777" max="11777" width="45.7109375" style="69" customWidth="1"/>
    <col min="11778" max="11778" width="13.5703125" style="69" customWidth="1"/>
    <col min="11779" max="11779" width="13.140625" style="69" customWidth="1"/>
    <col min="11780" max="11780" width="12.85546875" style="69" customWidth="1"/>
    <col min="11781" max="11781" width="12.5703125" style="69" customWidth="1"/>
    <col min="11782" max="12032" width="9.140625" style="69"/>
    <col min="12033" max="12033" width="45.7109375" style="69" customWidth="1"/>
    <col min="12034" max="12034" width="13.5703125" style="69" customWidth="1"/>
    <col min="12035" max="12035" width="13.140625" style="69" customWidth="1"/>
    <col min="12036" max="12036" width="12.85546875" style="69" customWidth="1"/>
    <col min="12037" max="12037" width="12.5703125" style="69" customWidth="1"/>
    <col min="12038" max="12288" width="9.140625" style="69"/>
    <col min="12289" max="12289" width="45.7109375" style="69" customWidth="1"/>
    <col min="12290" max="12290" width="13.5703125" style="69" customWidth="1"/>
    <col min="12291" max="12291" width="13.140625" style="69" customWidth="1"/>
    <col min="12292" max="12292" width="12.85546875" style="69" customWidth="1"/>
    <col min="12293" max="12293" width="12.5703125" style="69" customWidth="1"/>
    <col min="12294" max="12544" width="9.140625" style="69"/>
    <col min="12545" max="12545" width="45.7109375" style="69" customWidth="1"/>
    <col min="12546" max="12546" width="13.5703125" style="69" customWidth="1"/>
    <col min="12547" max="12547" width="13.140625" style="69" customWidth="1"/>
    <col min="12548" max="12548" width="12.85546875" style="69" customWidth="1"/>
    <col min="12549" max="12549" width="12.5703125" style="69" customWidth="1"/>
    <col min="12550" max="12800" width="9.140625" style="69"/>
    <col min="12801" max="12801" width="45.7109375" style="69" customWidth="1"/>
    <col min="12802" max="12802" width="13.5703125" style="69" customWidth="1"/>
    <col min="12803" max="12803" width="13.140625" style="69" customWidth="1"/>
    <col min="12804" max="12804" width="12.85546875" style="69" customWidth="1"/>
    <col min="12805" max="12805" width="12.5703125" style="69" customWidth="1"/>
    <col min="12806" max="13056" width="9.140625" style="69"/>
    <col min="13057" max="13057" width="45.7109375" style="69" customWidth="1"/>
    <col min="13058" max="13058" width="13.5703125" style="69" customWidth="1"/>
    <col min="13059" max="13059" width="13.140625" style="69" customWidth="1"/>
    <col min="13060" max="13060" width="12.85546875" style="69" customWidth="1"/>
    <col min="13061" max="13061" width="12.5703125" style="69" customWidth="1"/>
    <col min="13062" max="13312" width="9.140625" style="69"/>
    <col min="13313" max="13313" width="45.7109375" style="69" customWidth="1"/>
    <col min="13314" max="13314" width="13.5703125" style="69" customWidth="1"/>
    <col min="13315" max="13315" width="13.140625" style="69" customWidth="1"/>
    <col min="13316" max="13316" width="12.85546875" style="69" customWidth="1"/>
    <col min="13317" max="13317" width="12.5703125" style="69" customWidth="1"/>
    <col min="13318" max="13568" width="9.140625" style="69"/>
    <col min="13569" max="13569" width="45.7109375" style="69" customWidth="1"/>
    <col min="13570" max="13570" width="13.5703125" style="69" customWidth="1"/>
    <col min="13571" max="13571" width="13.140625" style="69" customWidth="1"/>
    <col min="13572" max="13572" width="12.85546875" style="69" customWidth="1"/>
    <col min="13573" max="13573" width="12.5703125" style="69" customWidth="1"/>
    <col min="13574" max="13824" width="9.140625" style="69"/>
    <col min="13825" max="13825" width="45.7109375" style="69" customWidth="1"/>
    <col min="13826" max="13826" width="13.5703125" style="69" customWidth="1"/>
    <col min="13827" max="13827" width="13.140625" style="69" customWidth="1"/>
    <col min="13828" max="13828" width="12.85546875" style="69" customWidth="1"/>
    <col min="13829" max="13829" width="12.5703125" style="69" customWidth="1"/>
    <col min="13830" max="14080" width="9.140625" style="69"/>
    <col min="14081" max="14081" width="45.7109375" style="69" customWidth="1"/>
    <col min="14082" max="14082" width="13.5703125" style="69" customWidth="1"/>
    <col min="14083" max="14083" width="13.140625" style="69" customWidth="1"/>
    <col min="14084" max="14084" width="12.85546875" style="69" customWidth="1"/>
    <col min="14085" max="14085" width="12.5703125" style="69" customWidth="1"/>
    <col min="14086" max="14336" width="9.140625" style="69"/>
    <col min="14337" max="14337" width="45.7109375" style="69" customWidth="1"/>
    <col min="14338" max="14338" width="13.5703125" style="69" customWidth="1"/>
    <col min="14339" max="14339" width="13.140625" style="69" customWidth="1"/>
    <col min="14340" max="14340" width="12.85546875" style="69" customWidth="1"/>
    <col min="14341" max="14341" width="12.5703125" style="69" customWidth="1"/>
    <col min="14342" max="14592" width="9.140625" style="69"/>
    <col min="14593" max="14593" width="45.7109375" style="69" customWidth="1"/>
    <col min="14594" max="14594" width="13.5703125" style="69" customWidth="1"/>
    <col min="14595" max="14595" width="13.140625" style="69" customWidth="1"/>
    <col min="14596" max="14596" width="12.85546875" style="69" customWidth="1"/>
    <col min="14597" max="14597" width="12.5703125" style="69" customWidth="1"/>
    <col min="14598" max="14848" width="9.140625" style="69"/>
    <col min="14849" max="14849" width="45.7109375" style="69" customWidth="1"/>
    <col min="14850" max="14850" width="13.5703125" style="69" customWidth="1"/>
    <col min="14851" max="14851" width="13.140625" style="69" customWidth="1"/>
    <col min="14852" max="14852" width="12.85546875" style="69" customWidth="1"/>
    <col min="14853" max="14853" width="12.5703125" style="69" customWidth="1"/>
    <col min="14854" max="15104" width="9.140625" style="69"/>
    <col min="15105" max="15105" width="45.7109375" style="69" customWidth="1"/>
    <col min="15106" max="15106" width="13.5703125" style="69" customWidth="1"/>
    <col min="15107" max="15107" width="13.140625" style="69" customWidth="1"/>
    <col min="15108" max="15108" width="12.85546875" style="69" customWidth="1"/>
    <col min="15109" max="15109" width="12.5703125" style="69" customWidth="1"/>
    <col min="15110" max="15360" width="9.140625" style="69"/>
    <col min="15361" max="15361" width="45.7109375" style="69" customWidth="1"/>
    <col min="15362" max="15362" width="13.5703125" style="69" customWidth="1"/>
    <col min="15363" max="15363" width="13.140625" style="69" customWidth="1"/>
    <col min="15364" max="15364" width="12.85546875" style="69" customWidth="1"/>
    <col min="15365" max="15365" width="12.5703125" style="69" customWidth="1"/>
    <col min="15366" max="15616" width="9.140625" style="69"/>
    <col min="15617" max="15617" width="45.7109375" style="69" customWidth="1"/>
    <col min="15618" max="15618" width="13.5703125" style="69" customWidth="1"/>
    <col min="15619" max="15619" width="13.140625" style="69" customWidth="1"/>
    <col min="15620" max="15620" width="12.85546875" style="69" customWidth="1"/>
    <col min="15621" max="15621" width="12.5703125" style="69" customWidth="1"/>
    <col min="15622" max="15872" width="9.140625" style="69"/>
    <col min="15873" max="15873" width="45.7109375" style="69" customWidth="1"/>
    <col min="15874" max="15874" width="13.5703125" style="69" customWidth="1"/>
    <col min="15875" max="15875" width="13.140625" style="69" customWidth="1"/>
    <col min="15876" max="15876" width="12.85546875" style="69" customWidth="1"/>
    <col min="15877" max="15877" width="12.5703125" style="69" customWidth="1"/>
    <col min="15878" max="16128" width="9.140625" style="69"/>
    <col min="16129" max="16129" width="45.7109375" style="69" customWidth="1"/>
    <col min="16130" max="16130" width="13.5703125" style="69" customWidth="1"/>
    <col min="16131" max="16131" width="13.140625" style="69" customWidth="1"/>
    <col min="16132" max="16132" width="12.85546875" style="69" customWidth="1"/>
    <col min="16133" max="16133" width="12.5703125" style="69" customWidth="1"/>
    <col min="16134" max="16384" width="9.140625" style="69"/>
  </cols>
  <sheetData>
    <row r="1" spans="1:5">
      <c r="C1" s="117" t="s">
        <v>117</v>
      </c>
    </row>
    <row r="2" spans="1:5">
      <c r="C2" s="117"/>
    </row>
    <row r="3" spans="1:5">
      <c r="A3" s="118" t="s">
        <v>118</v>
      </c>
    </row>
    <row r="4" spans="1:5">
      <c r="A4" s="12" t="s">
        <v>119</v>
      </c>
      <c r="B4" s="33">
        <v>74</v>
      </c>
      <c r="C4" s="33"/>
      <c r="D4" s="33">
        <f>B4+C4</f>
        <v>74</v>
      </c>
    </row>
    <row r="5" spans="1:5">
      <c r="A5" s="12" t="s">
        <v>120</v>
      </c>
      <c r="B5" s="33">
        <v>81.7</v>
      </c>
      <c r="C5" s="33"/>
      <c r="D5" s="33">
        <f>B5+C5</f>
        <v>81.7</v>
      </c>
    </row>
    <row r="6" spans="1:5">
      <c r="A6" s="36" t="s">
        <v>20</v>
      </c>
      <c r="B6" s="119">
        <v>100</v>
      </c>
      <c r="C6" s="119">
        <f>SUM(C4)</f>
        <v>0</v>
      </c>
      <c r="D6" s="119">
        <f>D4+D5</f>
        <v>155.69999999999999</v>
      </c>
    </row>
    <row r="7" spans="1:5">
      <c r="B7" s="120"/>
      <c r="C7" s="120"/>
      <c r="D7" s="120"/>
    </row>
    <row r="8" spans="1:5">
      <c r="A8" s="118" t="s">
        <v>121</v>
      </c>
      <c r="B8" s="120"/>
      <c r="C8" s="120"/>
      <c r="D8" s="120"/>
    </row>
    <row r="9" spans="1:5">
      <c r="A9" s="12" t="s">
        <v>122</v>
      </c>
      <c r="B9" s="33">
        <v>11240.9</v>
      </c>
      <c r="C9" s="33"/>
      <c r="D9" s="33">
        <f>B9+C9</f>
        <v>11240.9</v>
      </c>
    </row>
    <row r="10" spans="1:5">
      <c r="A10" s="121" t="s">
        <v>20</v>
      </c>
      <c r="B10" s="119">
        <v>11240.9</v>
      </c>
      <c r="C10" s="119">
        <f>SUM(C9)</f>
        <v>0</v>
      </c>
      <c r="D10" s="119">
        <v>11240.9</v>
      </c>
    </row>
    <row r="11" spans="1:5">
      <c r="B11" s="120"/>
      <c r="C11" s="120"/>
      <c r="D11" s="120"/>
    </row>
    <row r="12" spans="1:5">
      <c r="A12" s="36" t="s">
        <v>123</v>
      </c>
      <c r="B12" s="33"/>
      <c r="C12" s="33"/>
      <c r="D12" s="33"/>
    </row>
    <row r="13" spans="1:5">
      <c r="A13" s="30" t="s">
        <v>124</v>
      </c>
      <c r="B13" s="33">
        <v>803.84</v>
      </c>
      <c r="C13" s="33"/>
      <c r="D13" s="33">
        <f>B13+C13</f>
        <v>803.84</v>
      </c>
    </row>
    <row r="14" spans="1:5">
      <c r="A14" s="30" t="s">
        <v>125</v>
      </c>
      <c r="B14" s="33">
        <v>250</v>
      </c>
      <c r="C14" s="33"/>
      <c r="D14" s="33">
        <f>B14+C14</f>
        <v>250</v>
      </c>
    </row>
    <row r="15" spans="1:5">
      <c r="A15" s="12" t="s">
        <v>126</v>
      </c>
      <c r="B15" s="23">
        <v>288</v>
      </c>
      <c r="C15" s="23"/>
      <c r="D15" s="23">
        <f>B15+C15</f>
        <v>288</v>
      </c>
    </row>
    <row r="16" spans="1:5">
      <c r="A16" s="12" t="s">
        <v>127</v>
      </c>
      <c r="B16" s="23">
        <v>468.2</v>
      </c>
      <c r="C16" s="23"/>
      <c r="D16" s="23">
        <f>B16+C16</f>
        <v>468.2</v>
      </c>
      <c r="E16" s="122"/>
    </row>
    <row r="17" spans="1:4">
      <c r="A17" s="12" t="s">
        <v>128</v>
      </c>
      <c r="B17" s="23">
        <v>41.15</v>
      </c>
      <c r="C17" s="23"/>
      <c r="D17" s="23">
        <f>B17+C17</f>
        <v>41.15</v>
      </c>
    </row>
    <row r="18" spans="1:4">
      <c r="A18" s="30"/>
      <c r="B18" s="119">
        <f>SUM(B13:B17)</f>
        <v>1851.1900000000003</v>
      </c>
      <c r="C18" s="119">
        <f>SUM(C13:C17)</f>
        <v>0</v>
      </c>
      <c r="D18" s="119">
        <f>SUM(D13:D17)</f>
        <v>1851.1900000000003</v>
      </c>
    </row>
    <row r="19" spans="1:4">
      <c r="B19" s="120"/>
      <c r="C19" s="120"/>
      <c r="D19" s="120"/>
    </row>
    <row r="20" spans="1:4">
      <c r="A20" s="118" t="s">
        <v>129</v>
      </c>
      <c r="B20" s="120"/>
      <c r="C20" s="120"/>
      <c r="D20" s="120"/>
    </row>
    <row r="21" spans="1:4">
      <c r="A21" s="12" t="s">
        <v>63</v>
      </c>
      <c r="B21" s="33">
        <v>16</v>
      </c>
      <c r="C21" s="33"/>
      <c r="D21" s="33">
        <f>B21+C21</f>
        <v>16</v>
      </c>
    </row>
    <row r="22" spans="1:4">
      <c r="A22" s="12" t="s">
        <v>130</v>
      </c>
      <c r="B22" s="33">
        <v>46</v>
      </c>
      <c r="C22" s="33"/>
      <c r="D22" s="33">
        <f>B22+C22</f>
        <v>46</v>
      </c>
    </row>
    <row r="23" spans="1:4">
      <c r="A23" s="121" t="s">
        <v>20</v>
      </c>
      <c r="B23" s="119">
        <f>SUM(B21:B22)</f>
        <v>62</v>
      </c>
      <c r="C23" s="119">
        <f>SUM(C21+C22)</f>
        <v>0</v>
      </c>
      <c r="D23" s="119">
        <f>SUM(D21:D22)</f>
        <v>62</v>
      </c>
    </row>
    <row r="24" spans="1:4">
      <c r="B24" s="120"/>
      <c r="C24" s="120"/>
      <c r="D24" s="120"/>
    </row>
    <row r="25" spans="1:4">
      <c r="A25" s="118" t="s">
        <v>131</v>
      </c>
      <c r="B25" s="120"/>
      <c r="C25" s="120"/>
      <c r="D25" s="120"/>
    </row>
    <row r="26" spans="1:4">
      <c r="A26" s="12" t="s">
        <v>132</v>
      </c>
      <c r="B26" s="33">
        <v>406.12</v>
      </c>
      <c r="C26" s="33"/>
      <c r="D26" s="33">
        <f t="shared" ref="D26:D31" si="0">B26+C26</f>
        <v>406.12</v>
      </c>
    </row>
    <row r="27" spans="1:4">
      <c r="A27" s="12" t="s">
        <v>133</v>
      </c>
      <c r="B27" s="33">
        <v>10</v>
      </c>
      <c r="C27" s="33"/>
      <c r="D27" s="33">
        <f t="shared" si="0"/>
        <v>10</v>
      </c>
    </row>
    <row r="28" spans="1:4">
      <c r="A28" s="12" t="s">
        <v>134</v>
      </c>
      <c r="B28" s="33">
        <v>8.0299999999999994</v>
      </c>
      <c r="C28" s="33"/>
      <c r="D28" s="33">
        <f t="shared" si="0"/>
        <v>8.0299999999999994</v>
      </c>
    </row>
    <row r="29" spans="1:4">
      <c r="A29" s="30" t="s">
        <v>135</v>
      </c>
      <c r="B29" s="33">
        <v>52.6</v>
      </c>
      <c r="C29" s="33"/>
      <c r="D29" s="33">
        <f t="shared" si="0"/>
        <v>52.6</v>
      </c>
    </row>
    <row r="30" spans="1:4">
      <c r="A30" s="32" t="s">
        <v>136</v>
      </c>
      <c r="B30" s="123">
        <v>40</v>
      </c>
      <c r="C30" s="123"/>
      <c r="D30" s="33">
        <f t="shared" si="0"/>
        <v>40</v>
      </c>
    </row>
    <row r="31" spans="1:4" ht="25.5">
      <c r="A31" s="32" t="s">
        <v>137</v>
      </c>
      <c r="B31" s="123">
        <v>0</v>
      </c>
      <c r="C31" s="123">
        <v>99.5</v>
      </c>
      <c r="D31" s="33">
        <f t="shared" si="0"/>
        <v>99.5</v>
      </c>
    </row>
    <row r="32" spans="1:4">
      <c r="A32" s="121" t="s">
        <v>20</v>
      </c>
      <c r="B32" s="119">
        <f>SUM(B26:B31)</f>
        <v>516.75</v>
      </c>
      <c r="C32" s="119">
        <f>SUM(C26:C30)</f>
        <v>0</v>
      </c>
      <c r="D32" s="119">
        <f>SUM(D26:D31)</f>
        <v>616.25</v>
      </c>
    </row>
    <row r="33" spans="1:4">
      <c r="B33" s="120"/>
      <c r="C33" s="120"/>
      <c r="D33" s="120"/>
    </row>
    <row r="34" spans="1:4">
      <c r="A34" s="118" t="s">
        <v>138</v>
      </c>
      <c r="B34" s="120"/>
      <c r="C34" s="120"/>
      <c r="D34" s="120"/>
    </row>
    <row r="35" spans="1:4" ht="25.5">
      <c r="A35" s="16" t="s">
        <v>139</v>
      </c>
      <c r="B35" s="33">
        <v>10.15</v>
      </c>
      <c r="C35" s="33"/>
      <c r="D35" s="33">
        <f>B35+C35</f>
        <v>10.15</v>
      </c>
    </row>
    <row r="36" spans="1:4">
      <c r="A36" s="121" t="s">
        <v>20</v>
      </c>
      <c r="B36" s="119">
        <f>SUM(B35:B35)</f>
        <v>10.15</v>
      </c>
      <c r="C36" s="119">
        <f>SUM(C35)</f>
        <v>0</v>
      </c>
      <c r="D36" s="119">
        <f>SUM(D35:D35)</f>
        <v>10.15</v>
      </c>
    </row>
    <row r="37" spans="1:4">
      <c r="B37" s="120"/>
      <c r="C37" s="120"/>
      <c r="D37" s="120"/>
    </row>
    <row r="38" spans="1:4">
      <c r="A38" s="118" t="s">
        <v>140</v>
      </c>
      <c r="B38" s="120"/>
      <c r="C38" s="120"/>
      <c r="D38" s="120"/>
    </row>
    <row r="39" spans="1:4" ht="38.25">
      <c r="A39" s="16" t="s">
        <v>141</v>
      </c>
      <c r="B39" s="33">
        <v>442.97</v>
      </c>
      <c r="C39" s="33">
        <v>-442.97</v>
      </c>
      <c r="D39" s="33">
        <f>B39+C39</f>
        <v>0</v>
      </c>
    </row>
    <row r="40" spans="1:4">
      <c r="A40" s="121" t="s">
        <v>20</v>
      </c>
      <c r="B40" s="119">
        <f>SUM(B39:B39)</f>
        <v>442.97</v>
      </c>
      <c r="C40" s="119">
        <f>SUM(C39)</f>
        <v>-442.97</v>
      </c>
      <c r="D40" s="119">
        <f>SUM(D39:D39)</f>
        <v>0</v>
      </c>
    </row>
    <row r="41" spans="1:4">
      <c r="B41" s="120"/>
      <c r="C41" s="120"/>
      <c r="D41" s="120"/>
    </row>
    <row r="42" spans="1:4">
      <c r="A42" s="118" t="s">
        <v>142</v>
      </c>
      <c r="B42" s="120"/>
      <c r="C42" s="120"/>
      <c r="D42" s="120"/>
    </row>
    <row r="43" spans="1:4">
      <c r="A43" s="12" t="s">
        <v>143</v>
      </c>
      <c r="B43" s="33">
        <v>109.08</v>
      </c>
      <c r="C43" s="33"/>
      <c r="D43" s="33">
        <f>B43+C43</f>
        <v>109.08</v>
      </c>
    </row>
    <row r="44" spans="1:4">
      <c r="A44" s="124" t="s">
        <v>144</v>
      </c>
      <c r="B44" s="33">
        <v>327.23</v>
      </c>
      <c r="C44" s="33"/>
      <c r="D44" s="33">
        <f>B44+C44</f>
        <v>327.23</v>
      </c>
    </row>
    <row r="45" spans="1:4">
      <c r="A45" s="124" t="s">
        <v>145</v>
      </c>
      <c r="B45" s="33">
        <v>108.13</v>
      </c>
      <c r="C45" s="33"/>
      <c r="D45" s="33">
        <f>B45+C45</f>
        <v>108.13</v>
      </c>
    </row>
    <row r="46" spans="1:4">
      <c r="A46" s="121" t="s">
        <v>20</v>
      </c>
      <c r="B46" s="119">
        <f>SUM(B43:B44)</f>
        <v>436.31</v>
      </c>
      <c r="C46" s="119">
        <f>SUM(C43+C44)</f>
        <v>0</v>
      </c>
      <c r="D46" s="119">
        <f>SUM(D43:D45)</f>
        <v>544.44000000000005</v>
      </c>
    </row>
    <row r="47" spans="1:4">
      <c r="B47" s="120"/>
      <c r="C47" s="120"/>
      <c r="D47" s="120"/>
    </row>
    <row r="48" spans="1:4">
      <c r="A48" s="118" t="s">
        <v>146</v>
      </c>
      <c r="B48" s="120"/>
      <c r="C48" s="120"/>
      <c r="D48" s="120"/>
    </row>
    <row r="49" spans="1:9">
      <c r="A49" s="16" t="s">
        <v>147</v>
      </c>
      <c r="B49" s="33">
        <v>1838.22</v>
      </c>
      <c r="C49" s="33"/>
      <c r="D49" s="33">
        <f>B49+C49</f>
        <v>1838.22</v>
      </c>
    </row>
    <row r="50" spans="1:9">
      <c r="A50" s="121" t="s">
        <v>20</v>
      </c>
      <c r="B50" s="119">
        <f>SUM(B49:B49)</f>
        <v>1838.22</v>
      </c>
      <c r="C50" s="119">
        <f>SUM(C49)</f>
        <v>0</v>
      </c>
      <c r="D50" s="119">
        <f>SUM(D49:D49)</f>
        <v>1838.22</v>
      </c>
    </row>
    <row r="51" spans="1:9">
      <c r="B51" s="120"/>
      <c r="C51" s="120"/>
      <c r="D51" s="120"/>
    </row>
    <row r="52" spans="1:9">
      <c r="A52" s="118" t="s">
        <v>148</v>
      </c>
      <c r="B52" s="120"/>
      <c r="C52" s="120"/>
      <c r="D52" s="120"/>
    </row>
    <row r="53" spans="1:9">
      <c r="A53" s="32" t="s">
        <v>149</v>
      </c>
      <c r="B53" s="123">
        <v>239.2</v>
      </c>
      <c r="C53" s="123"/>
      <c r="D53" s="33">
        <f>B53+C53</f>
        <v>239.2</v>
      </c>
    </row>
    <row r="54" spans="1:9">
      <c r="A54" s="121" t="s">
        <v>20</v>
      </c>
      <c r="B54" s="119">
        <f>SUM(B53:B53)</f>
        <v>239.2</v>
      </c>
      <c r="C54" s="119">
        <f>SUM(C53)</f>
        <v>0</v>
      </c>
      <c r="D54" s="119">
        <f>SUM(D53:D53)</f>
        <v>239.2</v>
      </c>
    </row>
    <row r="56" spans="1:9">
      <c r="A56" s="118" t="s">
        <v>150</v>
      </c>
      <c r="B56" s="120"/>
      <c r="C56" s="120"/>
      <c r="D56" s="120"/>
    </row>
    <row r="57" spans="1:9" ht="25.5">
      <c r="A57" s="16" t="s">
        <v>151</v>
      </c>
      <c r="B57" s="33">
        <v>15301.21</v>
      </c>
      <c r="C57" s="33"/>
      <c r="D57" s="33">
        <f>B57+C57</f>
        <v>15301.21</v>
      </c>
    </row>
    <row r="58" spans="1:9">
      <c r="A58" s="121" t="s">
        <v>20</v>
      </c>
      <c r="B58" s="119">
        <f>SUM(B57:B57)</f>
        <v>15301.21</v>
      </c>
      <c r="C58" s="119">
        <f>SUM(C57:C57)</f>
        <v>0</v>
      </c>
      <c r="D58" s="119">
        <f>SUM(D57:D57)</f>
        <v>15301.21</v>
      </c>
    </row>
    <row r="60" spans="1:9" s="126" customFormat="1" ht="27" customHeight="1">
      <c r="A60" s="670" t="s">
        <v>152</v>
      </c>
      <c r="B60" s="670"/>
      <c r="C60" s="670"/>
      <c r="D60" s="670"/>
      <c r="E60" s="125"/>
      <c r="F60" s="125"/>
      <c r="G60" s="125"/>
      <c r="H60" s="125"/>
      <c r="I60" s="125"/>
    </row>
    <row r="61" spans="1:9">
      <c r="A61" s="127"/>
      <c r="B61" s="117"/>
      <c r="C61" s="117"/>
      <c r="D61" s="117"/>
    </row>
    <row r="62" spans="1:9" ht="39.75" customHeight="1">
      <c r="A62" s="670" t="s">
        <v>153</v>
      </c>
      <c r="B62" s="671"/>
      <c r="C62" s="671"/>
      <c r="D62" s="671"/>
      <c r="E62" s="125"/>
      <c r="F62" s="125"/>
      <c r="G62" s="125"/>
      <c r="H62" s="125"/>
      <c r="I62" s="125"/>
    </row>
    <row r="63" spans="1:9">
      <c r="A63" s="127"/>
      <c r="B63" s="117"/>
      <c r="C63" s="117"/>
      <c r="D63" s="117"/>
    </row>
    <row r="64" spans="1:9">
      <c r="A64" s="127"/>
      <c r="B64" s="117"/>
      <c r="C64" s="117"/>
      <c r="D64" s="117"/>
    </row>
  </sheetData>
  <mergeCells count="2">
    <mergeCell ref="A60:D60"/>
    <mergeCell ref="A62:D62"/>
  </mergeCells>
  <pageMargins left="0" right="0" top="0.39370078740157483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="130" zoomScaleNormal="130" workbookViewId="0">
      <selection activeCell="H1" sqref="H1"/>
    </sheetView>
  </sheetViews>
  <sheetFormatPr defaultRowHeight="12.75"/>
  <cols>
    <col min="1" max="1" width="5.140625" customWidth="1"/>
    <col min="2" max="2" width="47.7109375" customWidth="1"/>
    <col min="3" max="3" width="12" style="85" hidden="1" customWidth="1"/>
    <col min="4" max="4" width="13.28515625" style="85" hidden="1" customWidth="1"/>
    <col min="5" max="5" width="13.42578125" style="85" hidden="1" customWidth="1"/>
    <col min="6" max="6" width="12.85546875" hidden="1" customWidth="1"/>
    <col min="8" max="8" width="15.28515625" customWidth="1"/>
    <col min="256" max="256" width="5.140625" customWidth="1"/>
    <col min="257" max="257" width="47.7109375" customWidth="1"/>
    <col min="258" max="258" width="12" customWidth="1"/>
    <col min="259" max="259" width="13.28515625" customWidth="1"/>
    <col min="260" max="260" width="13.42578125" customWidth="1"/>
    <col min="261" max="261" width="12.85546875" customWidth="1"/>
    <col min="512" max="512" width="5.140625" customWidth="1"/>
    <col min="513" max="513" width="47.7109375" customWidth="1"/>
    <col min="514" max="514" width="12" customWidth="1"/>
    <col min="515" max="515" width="13.28515625" customWidth="1"/>
    <col min="516" max="516" width="13.42578125" customWidth="1"/>
    <col min="517" max="517" width="12.85546875" customWidth="1"/>
    <col min="768" max="768" width="5.140625" customWidth="1"/>
    <col min="769" max="769" width="47.7109375" customWidth="1"/>
    <col min="770" max="770" width="12" customWidth="1"/>
    <col min="771" max="771" width="13.28515625" customWidth="1"/>
    <col min="772" max="772" width="13.42578125" customWidth="1"/>
    <col min="773" max="773" width="12.85546875" customWidth="1"/>
    <col min="1024" max="1024" width="5.140625" customWidth="1"/>
    <col min="1025" max="1025" width="47.7109375" customWidth="1"/>
    <col min="1026" max="1026" width="12" customWidth="1"/>
    <col min="1027" max="1027" width="13.28515625" customWidth="1"/>
    <col min="1028" max="1028" width="13.42578125" customWidth="1"/>
    <col min="1029" max="1029" width="12.85546875" customWidth="1"/>
    <col min="1280" max="1280" width="5.140625" customWidth="1"/>
    <col min="1281" max="1281" width="47.7109375" customWidth="1"/>
    <col min="1282" max="1282" width="12" customWidth="1"/>
    <col min="1283" max="1283" width="13.28515625" customWidth="1"/>
    <col min="1284" max="1284" width="13.42578125" customWidth="1"/>
    <col min="1285" max="1285" width="12.85546875" customWidth="1"/>
    <col min="1536" max="1536" width="5.140625" customWidth="1"/>
    <col min="1537" max="1537" width="47.7109375" customWidth="1"/>
    <col min="1538" max="1538" width="12" customWidth="1"/>
    <col min="1539" max="1539" width="13.28515625" customWidth="1"/>
    <col min="1540" max="1540" width="13.42578125" customWidth="1"/>
    <col min="1541" max="1541" width="12.85546875" customWidth="1"/>
    <col min="1792" max="1792" width="5.140625" customWidth="1"/>
    <col min="1793" max="1793" width="47.7109375" customWidth="1"/>
    <col min="1794" max="1794" width="12" customWidth="1"/>
    <col min="1795" max="1795" width="13.28515625" customWidth="1"/>
    <col min="1796" max="1796" width="13.42578125" customWidth="1"/>
    <col min="1797" max="1797" width="12.85546875" customWidth="1"/>
    <col min="2048" max="2048" width="5.140625" customWidth="1"/>
    <col min="2049" max="2049" width="47.7109375" customWidth="1"/>
    <col min="2050" max="2050" width="12" customWidth="1"/>
    <col min="2051" max="2051" width="13.28515625" customWidth="1"/>
    <col min="2052" max="2052" width="13.42578125" customWidth="1"/>
    <col min="2053" max="2053" width="12.85546875" customWidth="1"/>
    <col min="2304" max="2304" width="5.140625" customWidth="1"/>
    <col min="2305" max="2305" width="47.7109375" customWidth="1"/>
    <col min="2306" max="2306" width="12" customWidth="1"/>
    <col min="2307" max="2307" width="13.28515625" customWidth="1"/>
    <col min="2308" max="2308" width="13.42578125" customWidth="1"/>
    <col min="2309" max="2309" width="12.85546875" customWidth="1"/>
    <col min="2560" max="2560" width="5.140625" customWidth="1"/>
    <col min="2561" max="2561" width="47.7109375" customWidth="1"/>
    <col min="2562" max="2562" width="12" customWidth="1"/>
    <col min="2563" max="2563" width="13.28515625" customWidth="1"/>
    <col min="2564" max="2564" width="13.42578125" customWidth="1"/>
    <col min="2565" max="2565" width="12.85546875" customWidth="1"/>
    <col min="2816" max="2816" width="5.140625" customWidth="1"/>
    <col min="2817" max="2817" width="47.7109375" customWidth="1"/>
    <col min="2818" max="2818" width="12" customWidth="1"/>
    <col min="2819" max="2819" width="13.28515625" customWidth="1"/>
    <col min="2820" max="2820" width="13.42578125" customWidth="1"/>
    <col min="2821" max="2821" width="12.85546875" customWidth="1"/>
    <col min="3072" max="3072" width="5.140625" customWidth="1"/>
    <col min="3073" max="3073" width="47.7109375" customWidth="1"/>
    <col min="3074" max="3074" width="12" customWidth="1"/>
    <col min="3075" max="3075" width="13.28515625" customWidth="1"/>
    <col min="3076" max="3076" width="13.42578125" customWidth="1"/>
    <col min="3077" max="3077" width="12.85546875" customWidth="1"/>
    <col min="3328" max="3328" width="5.140625" customWidth="1"/>
    <col min="3329" max="3329" width="47.7109375" customWidth="1"/>
    <col min="3330" max="3330" width="12" customWidth="1"/>
    <col min="3331" max="3331" width="13.28515625" customWidth="1"/>
    <col min="3332" max="3332" width="13.42578125" customWidth="1"/>
    <col min="3333" max="3333" width="12.85546875" customWidth="1"/>
    <col min="3584" max="3584" width="5.140625" customWidth="1"/>
    <col min="3585" max="3585" width="47.7109375" customWidth="1"/>
    <col min="3586" max="3586" width="12" customWidth="1"/>
    <col min="3587" max="3587" width="13.28515625" customWidth="1"/>
    <col min="3588" max="3588" width="13.42578125" customWidth="1"/>
    <col min="3589" max="3589" width="12.85546875" customWidth="1"/>
    <col min="3840" max="3840" width="5.140625" customWidth="1"/>
    <col min="3841" max="3841" width="47.7109375" customWidth="1"/>
    <col min="3842" max="3842" width="12" customWidth="1"/>
    <col min="3843" max="3843" width="13.28515625" customWidth="1"/>
    <col min="3844" max="3844" width="13.42578125" customWidth="1"/>
    <col min="3845" max="3845" width="12.85546875" customWidth="1"/>
    <col min="4096" max="4096" width="5.140625" customWidth="1"/>
    <col min="4097" max="4097" width="47.7109375" customWidth="1"/>
    <col min="4098" max="4098" width="12" customWidth="1"/>
    <col min="4099" max="4099" width="13.28515625" customWidth="1"/>
    <col min="4100" max="4100" width="13.42578125" customWidth="1"/>
    <col min="4101" max="4101" width="12.85546875" customWidth="1"/>
    <col min="4352" max="4352" width="5.140625" customWidth="1"/>
    <col min="4353" max="4353" width="47.7109375" customWidth="1"/>
    <col min="4354" max="4354" width="12" customWidth="1"/>
    <col min="4355" max="4355" width="13.28515625" customWidth="1"/>
    <col min="4356" max="4356" width="13.42578125" customWidth="1"/>
    <col min="4357" max="4357" width="12.85546875" customWidth="1"/>
    <col min="4608" max="4608" width="5.140625" customWidth="1"/>
    <col min="4609" max="4609" width="47.7109375" customWidth="1"/>
    <col min="4610" max="4610" width="12" customWidth="1"/>
    <col min="4611" max="4611" width="13.28515625" customWidth="1"/>
    <col min="4612" max="4612" width="13.42578125" customWidth="1"/>
    <col min="4613" max="4613" width="12.85546875" customWidth="1"/>
    <col min="4864" max="4864" width="5.140625" customWidth="1"/>
    <col min="4865" max="4865" width="47.7109375" customWidth="1"/>
    <col min="4866" max="4866" width="12" customWidth="1"/>
    <col min="4867" max="4867" width="13.28515625" customWidth="1"/>
    <col min="4868" max="4868" width="13.42578125" customWidth="1"/>
    <col min="4869" max="4869" width="12.85546875" customWidth="1"/>
    <col min="5120" max="5120" width="5.140625" customWidth="1"/>
    <col min="5121" max="5121" width="47.7109375" customWidth="1"/>
    <col min="5122" max="5122" width="12" customWidth="1"/>
    <col min="5123" max="5123" width="13.28515625" customWidth="1"/>
    <col min="5124" max="5124" width="13.42578125" customWidth="1"/>
    <col min="5125" max="5125" width="12.85546875" customWidth="1"/>
    <col min="5376" max="5376" width="5.140625" customWidth="1"/>
    <col min="5377" max="5377" width="47.7109375" customWidth="1"/>
    <col min="5378" max="5378" width="12" customWidth="1"/>
    <col min="5379" max="5379" width="13.28515625" customWidth="1"/>
    <col min="5380" max="5380" width="13.42578125" customWidth="1"/>
    <col min="5381" max="5381" width="12.85546875" customWidth="1"/>
    <col min="5632" max="5632" width="5.140625" customWidth="1"/>
    <col min="5633" max="5633" width="47.7109375" customWidth="1"/>
    <col min="5634" max="5634" width="12" customWidth="1"/>
    <col min="5635" max="5635" width="13.28515625" customWidth="1"/>
    <col min="5636" max="5636" width="13.42578125" customWidth="1"/>
    <col min="5637" max="5637" width="12.85546875" customWidth="1"/>
    <col min="5888" max="5888" width="5.140625" customWidth="1"/>
    <col min="5889" max="5889" width="47.7109375" customWidth="1"/>
    <col min="5890" max="5890" width="12" customWidth="1"/>
    <col min="5891" max="5891" width="13.28515625" customWidth="1"/>
    <col min="5892" max="5892" width="13.42578125" customWidth="1"/>
    <col min="5893" max="5893" width="12.85546875" customWidth="1"/>
    <col min="6144" max="6144" width="5.140625" customWidth="1"/>
    <col min="6145" max="6145" width="47.7109375" customWidth="1"/>
    <col min="6146" max="6146" width="12" customWidth="1"/>
    <col min="6147" max="6147" width="13.28515625" customWidth="1"/>
    <col min="6148" max="6148" width="13.42578125" customWidth="1"/>
    <col min="6149" max="6149" width="12.85546875" customWidth="1"/>
    <col min="6400" max="6400" width="5.140625" customWidth="1"/>
    <col min="6401" max="6401" width="47.7109375" customWidth="1"/>
    <col min="6402" max="6402" width="12" customWidth="1"/>
    <col min="6403" max="6403" width="13.28515625" customWidth="1"/>
    <col min="6404" max="6404" width="13.42578125" customWidth="1"/>
    <col min="6405" max="6405" width="12.85546875" customWidth="1"/>
    <col min="6656" max="6656" width="5.140625" customWidth="1"/>
    <col min="6657" max="6657" width="47.7109375" customWidth="1"/>
    <col min="6658" max="6658" width="12" customWidth="1"/>
    <col min="6659" max="6659" width="13.28515625" customWidth="1"/>
    <col min="6660" max="6660" width="13.42578125" customWidth="1"/>
    <col min="6661" max="6661" width="12.85546875" customWidth="1"/>
    <col min="6912" max="6912" width="5.140625" customWidth="1"/>
    <col min="6913" max="6913" width="47.7109375" customWidth="1"/>
    <col min="6914" max="6914" width="12" customWidth="1"/>
    <col min="6915" max="6915" width="13.28515625" customWidth="1"/>
    <col min="6916" max="6916" width="13.42578125" customWidth="1"/>
    <col min="6917" max="6917" width="12.85546875" customWidth="1"/>
    <col min="7168" max="7168" width="5.140625" customWidth="1"/>
    <col min="7169" max="7169" width="47.7109375" customWidth="1"/>
    <col min="7170" max="7170" width="12" customWidth="1"/>
    <col min="7171" max="7171" width="13.28515625" customWidth="1"/>
    <col min="7172" max="7172" width="13.42578125" customWidth="1"/>
    <col min="7173" max="7173" width="12.85546875" customWidth="1"/>
    <col min="7424" max="7424" width="5.140625" customWidth="1"/>
    <col min="7425" max="7425" width="47.7109375" customWidth="1"/>
    <col min="7426" max="7426" width="12" customWidth="1"/>
    <col min="7427" max="7427" width="13.28515625" customWidth="1"/>
    <col min="7428" max="7428" width="13.42578125" customWidth="1"/>
    <col min="7429" max="7429" width="12.85546875" customWidth="1"/>
    <col min="7680" max="7680" width="5.140625" customWidth="1"/>
    <col min="7681" max="7681" width="47.7109375" customWidth="1"/>
    <col min="7682" max="7682" width="12" customWidth="1"/>
    <col min="7683" max="7683" width="13.28515625" customWidth="1"/>
    <col min="7684" max="7684" width="13.42578125" customWidth="1"/>
    <col min="7685" max="7685" width="12.85546875" customWidth="1"/>
    <col min="7936" max="7936" width="5.140625" customWidth="1"/>
    <col min="7937" max="7937" width="47.7109375" customWidth="1"/>
    <col min="7938" max="7938" width="12" customWidth="1"/>
    <col min="7939" max="7939" width="13.28515625" customWidth="1"/>
    <col min="7940" max="7940" width="13.42578125" customWidth="1"/>
    <col min="7941" max="7941" width="12.85546875" customWidth="1"/>
    <col min="8192" max="8192" width="5.140625" customWidth="1"/>
    <col min="8193" max="8193" width="47.7109375" customWidth="1"/>
    <col min="8194" max="8194" width="12" customWidth="1"/>
    <col min="8195" max="8195" width="13.28515625" customWidth="1"/>
    <col min="8196" max="8196" width="13.42578125" customWidth="1"/>
    <col min="8197" max="8197" width="12.85546875" customWidth="1"/>
    <col min="8448" max="8448" width="5.140625" customWidth="1"/>
    <col min="8449" max="8449" width="47.7109375" customWidth="1"/>
    <col min="8450" max="8450" width="12" customWidth="1"/>
    <col min="8451" max="8451" width="13.28515625" customWidth="1"/>
    <col min="8452" max="8452" width="13.42578125" customWidth="1"/>
    <col min="8453" max="8453" width="12.85546875" customWidth="1"/>
    <col min="8704" max="8704" width="5.140625" customWidth="1"/>
    <col min="8705" max="8705" width="47.7109375" customWidth="1"/>
    <col min="8706" max="8706" width="12" customWidth="1"/>
    <col min="8707" max="8707" width="13.28515625" customWidth="1"/>
    <col min="8708" max="8708" width="13.42578125" customWidth="1"/>
    <col min="8709" max="8709" width="12.85546875" customWidth="1"/>
    <col min="8960" max="8960" width="5.140625" customWidth="1"/>
    <col min="8961" max="8961" width="47.7109375" customWidth="1"/>
    <col min="8962" max="8962" width="12" customWidth="1"/>
    <col min="8963" max="8963" width="13.28515625" customWidth="1"/>
    <col min="8964" max="8964" width="13.42578125" customWidth="1"/>
    <col min="8965" max="8965" width="12.85546875" customWidth="1"/>
    <col min="9216" max="9216" width="5.140625" customWidth="1"/>
    <col min="9217" max="9217" width="47.7109375" customWidth="1"/>
    <col min="9218" max="9218" width="12" customWidth="1"/>
    <col min="9219" max="9219" width="13.28515625" customWidth="1"/>
    <col min="9220" max="9220" width="13.42578125" customWidth="1"/>
    <col min="9221" max="9221" width="12.85546875" customWidth="1"/>
    <col min="9472" max="9472" width="5.140625" customWidth="1"/>
    <col min="9473" max="9473" width="47.7109375" customWidth="1"/>
    <col min="9474" max="9474" width="12" customWidth="1"/>
    <col min="9475" max="9475" width="13.28515625" customWidth="1"/>
    <col min="9476" max="9476" width="13.42578125" customWidth="1"/>
    <col min="9477" max="9477" width="12.85546875" customWidth="1"/>
    <col min="9728" max="9728" width="5.140625" customWidth="1"/>
    <col min="9729" max="9729" width="47.7109375" customWidth="1"/>
    <col min="9730" max="9730" width="12" customWidth="1"/>
    <col min="9731" max="9731" width="13.28515625" customWidth="1"/>
    <col min="9732" max="9732" width="13.42578125" customWidth="1"/>
    <col min="9733" max="9733" width="12.85546875" customWidth="1"/>
    <col min="9984" max="9984" width="5.140625" customWidth="1"/>
    <col min="9985" max="9985" width="47.7109375" customWidth="1"/>
    <col min="9986" max="9986" width="12" customWidth="1"/>
    <col min="9987" max="9987" width="13.28515625" customWidth="1"/>
    <col min="9988" max="9988" width="13.42578125" customWidth="1"/>
    <col min="9989" max="9989" width="12.85546875" customWidth="1"/>
    <col min="10240" max="10240" width="5.140625" customWidth="1"/>
    <col min="10241" max="10241" width="47.7109375" customWidth="1"/>
    <col min="10242" max="10242" width="12" customWidth="1"/>
    <col min="10243" max="10243" width="13.28515625" customWidth="1"/>
    <col min="10244" max="10244" width="13.42578125" customWidth="1"/>
    <col min="10245" max="10245" width="12.85546875" customWidth="1"/>
    <col min="10496" max="10496" width="5.140625" customWidth="1"/>
    <col min="10497" max="10497" width="47.7109375" customWidth="1"/>
    <col min="10498" max="10498" width="12" customWidth="1"/>
    <col min="10499" max="10499" width="13.28515625" customWidth="1"/>
    <col min="10500" max="10500" width="13.42578125" customWidth="1"/>
    <col min="10501" max="10501" width="12.85546875" customWidth="1"/>
    <col min="10752" max="10752" width="5.140625" customWidth="1"/>
    <col min="10753" max="10753" width="47.7109375" customWidth="1"/>
    <col min="10754" max="10754" width="12" customWidth="1"/>
    <col min="10755" max="10755" width="13.28515625" customWidth="1"/>
    <col min="10756" max="10756" width="13.42578125" customWidth="1"/>
    <col min="10757" max="10757" width="12.85546875" customWidth="1"/>
    <col min="11008" max="11008" width="5.140625" customWidth="1"/>
    <col min="11009" max="11009" width="47.7109375" customWidth="1"/>
    <col min="11010" max="11010" width="12" customWidth="1"/>
    <col min="11011" max="11011" width="13.28515625" customWidth="1"/>
    <col min="11012" max="11012" width="13.42578125" customWidth="1"/>
    <col min="11013" max="11013" width="12.85546875" customWidth="1"/>
    <col min="11264" max="11264" width="5.140625" customWidth="1"/>
    <col min="11265" max="11265" width="47.7109375" customWidth="1"/>
    <col min="11266" max="11266" width="12" customWidth="1"/>
    <col min="11267" max="11267" width="13.28515625" customWidth="1"/>
    <col min="11268" max="11268" width="13.42578125" customWidth="1"/>
    <col min="11269" max="11269" width="12.85546875" customWidth="1"/>
    <col min="11520" max="11520" width="5.140625" customWidth="1"/>
    <col min="11521" max="11521" width="47.7109375" customWidth="1"/>
    <col min="11522" max="11522" width="12" customWidth="1"/>
    <col min="11523" max="11523" width="13.28515625" customWidth="1"/>
    <col min="11524" max="11524" width="13.42578125" customWidth="1"/>
    <col min="11525" max="11525" width="12.85546875" customWidth="1"/>
    <col min="11776" max="11776" width="5.140625" customWidth="1"/>
    <col min="11777" max="11777" width="47.7109375" customWidth="1"/>
    <col min="11778" max="11778" width="12" customWidth="1"/>
    <col min="11779" max="11779" width="13.28515625" customWidth="1"/>
    <col min="11780" max="11780" width="13.42578125" customWidth="1"/>
    <col min="11781" max="11781" width="12.85546875" customWidth="1"/>
    <col min="12032" max="12032" width="5.140625" customWidth="1"/>
    <col min="12033" max="12033" width="47.7109375" customWidth="1"/>
    <col min="12034" max="12034" width="12" customWidth="1"/>
    <col min="12035" max="12035" width="13.28515625" customWidth="1"/>
    <col min="12036" max="12036" width="13.42578125" customWidth="1"/>
    <col min="12037" max="12037" width="12.85546875" customWidth="1"/>
    <col min="12288" max="12288" width="5.140625" customWidth="1"/>
    <col min="12289" max="12289" width="47.7109375" customWidth="1"/>
    <col min="12290" max="12290" width="12" customWidth="1"/>
    <col min="12291" max="12291" width="13.28515625" customWidth="1"/>
    <col min="12292" max="12292" width="13.42578125" customWidth="1"/>
    <col min="12293" max="12293" width="12.85546875" customWidth="1"/>
    <col min="12544" max="12544" width="5.140625" customWidth="1"/>
    <col min="12545" max="12545" width="47.7109375" customWidth="1"/>
    <col min="12546" max="12546" width="12" customWidth="1"/>
    <col min="12547" max="12547" width="13.28515625" customWidth="1"/>
    <col min="12548" max="12548" width="13.42578125" customWidth="1"/>
    <col min="12549" max="12549" width="12.85546875" customWidth="1"/>
    <col min="12800" max="12800" width="5.140625" customWidth="1"/>
    <col min="12801" max="12801" width="47.7109375" customWidth="1"/>
    <col min="12802" max="12802" width="12" customWidth="1"/>
    <col min="12803" max="12803" width="13.28515625" customWidth="1"/>
    <col min="12804" max="12804" width="13.42578125" customWidth="1"/>
    <col min="12805" max="12805" width="12.85546875" customWidth="1"/>
    <col min="13056" max="13056" width="5.140625" customWidth="1"/>
    <col min="13057" max="13057" width="47.7109375" customWidth="1"/>
    <col min="13058" max="13058" width="12" customWidth="1"/>
    <col min="13059" max="13059" width="13.28515625" customWidth="1"/>
    <col min="13060" max="13060" width="13.42578125" customWidth="1"/>
    <col min="13061" max="13061" width="12.85546875" customWidth="1"/>
    <col min="13312" max="13312" width="5.140625" customWidth="1"/>
    <col min="13313" max="13313" width="47.7109375" customWidth="1"/>
    <col min="13314" max="13314" width="12" customWidth="1"/>
    <col min="13315" max="13315" width="13.28515625" customWidth="1"/>
    <col min="13316" max="13316" width="13.42578125" customWidth="1"/>
    <col min="13317" max="13317" width="12.85546875" customWidth="1"/>
    <col min="13568" max="13568" width="5.140625" customWidth="1"/>
    <col min="13569" max="13569" width="47.7109375" customWidth="1"/>
    <col min="13570" max="13570" width="12" customWidth="1"/>
    <col min="13571" max="13571" width="13.28515625" customWidth="1"/>
    <col min="13572" max="13572" width="13.42578125" customWidth="1"/>
    <col min="13573" max="13573" width="12.85546875" customWidth="1"/>
    <col min="13824" max="13824" width="5.140625" customWidth="1"/>
    <col min="13825" max="13825" width="47.7109375" customWidth="1"/>
    <col min="13826" max="13826" width="12" customWidth="1"/>
    <col min="13827" max="13827" width="13.28515625" customWidth="1"/>
    <col min="13828" max="13828" width="13.42578125" customWidth="1"/>
    <col min="13829" max="13829" width="12.85546875" customWidth="1"/>
    <col min="14080" max="14080" width="5.140625" customWidth="1"/>
    <col min="14081" max="14081" width="47.7109375" customWidth="1"/>
    <col min="14082" max="14082" width="12" customWidth="1"/>
    <col min="14083" max="14083" width="13.28515625" customWidth="1"/>
    <col min="14084" max="14084" width="13.42578125" customWidth="1"/>
    <col min="14085" max="14085" width="12.85546875" customWidth="1"/>
    <col min="14336" max="14336" width="5.140625" customWidth="1"/>
    <col min="14337" max="14337" width="47.7109375" customWidth="1"/>
    <col min="14338" max="14338" width="12" customWidth="1"/>
    <col min="14339" max="14339" width="13.28515625" customWidth="1"/>
    <col min="14340" max="14340" width="13.42578125" customWidth="1"/>
    <col min="14341" max="14341" width="12.85546875" customWidth="1"/>
    <col min="14592" max="14592" width="5.140625" customWidth="1"/>
    <col min="14593" max="14593" width="47.7109375" customWidth="1"/>
    <col min="14594" max="14594" width="12" customWidth="1"/>
    <col min="14595" max="14595" width="13.28515625" customWidth="1"/>
    <col min="14596" max="14596" width="13.42578125" customWidth="1"/>
    <col min="14597" max="14597" width="12.85546875" customWidth="1"/>
    <col min="14848" max="14848" width="5.140625" customWidth="1"/>
    <col min="14849" max="14849" width="47.7109375" customWidth="1"/>
    <col min="14850" max="14850" width="12" customWidth="1"/>
    <col min="14851" max="14851" width="13.28515625" customWidth="1"/>
    <col min="14852" max="14852" width="13.42578125" customWidth="1"/>
    <col min="14853" max="14853" width="12.85546875" customWidth="1"/>
    <col min="15104" max="15104" width="5.140625" customWidth="1"/>
    <col min="15105" max="15105" width="47.7109375" customWidth="1"/>
    <col min="15106" max="15106" width="12" customWidth="1"/>
    <col min="15107" max="15107" width="13.28515625" customWidth="1"/>
    <col min="15108" max="15108" width="13.42578125" customWidth="1"/>
    <col min="15109" max="15109" width="12.85546875" customWidth="1"/>
    <col min="15360" max="15360" width="5.140625" customWidth="1"/>
    <col min="15361" max="15361" width="47.7109375" customWidth="1"/>
    <col min="15362" max="15362" width="12" customWidth="1"/>
    <col min="15363" max="15363" width="13.28515625" customWidth="1"/>
    <col min="15364" max="15364" width="13.42578125" customWidth="1"/>
    <col min="15365" max="15365" width="12.85546875" customWidth="1"/>
    <col min="15616" max="15616" width="5.140625" customWidth="1"/>
    <col min="15617" max="15617" width="47.7109375" customWidth="1"/>
    <col min="15618" max="15618" width="12" customWidth="1"/>
    <col min="15619" max="15619" width="13.28515625" customWidth="1"/>
    <col min="15620" max="15620" width="13.42578125" customWidth="1"/>
    <col min="15621" max="15621" width="12.85546875" customWidth="1"/>
    <col min="15872" max="15872" width="5.140625" customWidth="1"/>
    <col min="15873" max="15873" width="47.7109375" customWidth="1"/>
    <col min="15874" max="15874" width="12" customWidth="1"/>
    <col min="15875" max="15875" width="13.28515625" customWidth="1"/>
    <col min="15876" max="15876" width="13.42578125" customWidth="1"/>
    <col min="15877" max="15877" width="12.85546875" customWidth="1"/>
    <col min="16128" max="16128" width="5.140625" customWidth="1"/>
    <col min="16129" max="16129" width="47.7109375" customWidth="1"/>
    <col min="16130" max="16130" width="12" customWidth="1"/>
    <col min="16131" max="16131" width="13.28515625" customWidth="1"/>
    <col min="16132" max="16132" width="13.42578125" customWidth="1"/>
    <col min="16133" max="16133" width="12.85546875" customWidth="1"/>
  </cols>
  <sheetData>
    <row r="1" spans="1:8" ht="15">
      <c r="A1" s="598" t="s">
        <v>726</v>
      </c>
      <c r="H1" s="638" t="s">
        <v>673</v>
      </c>
    </row>
    <row r="2" spans="1:8">
      <c r="A2" s="598"/>
      <c r="C2" s="599" t="s">
        <v>69</v>
      </c>
      <c r="D2" s="599"/>
    </row>
    <row r="3" spans="1:8" ht="25.5">
      <c r="A3" s="256"/>
      <c r="B3" s="600"/>
      <c r="C3" s="601" t="s">
        <v>32</v>
      </c>
      <c r="D3" s="602" t="s">
        <v>708</v>
      </c>
      <c r="E3" s="602" t="s">
        <v>709</v>
      </c>
      <c r="F3" s="603" t="s">
        <v>710</v>
      </c>
      <c r="H3" s="588" t="s">
        <v>707</v>
      </c>
    </row>
    <row r="4" spans="1:8">
      <c r="A4" s="605">
        <v>123</v>
      </c>
      <c r="B4" s="606" t="s">
        <v>86</v>
      </c>
      <c r="C4" s="607">
        <v>300</v>
      </c>
      <c r="D4" s="607">
        <v>300</v>
      </c>
      <c r="E4" s="239"/>
      <c r="F4" s="239">
        <f>D4+E4</f>
        <v>300</v>
      </c>
      <c r="H4" s="589"/>
    </row>
    <row r="5" spans="1:8">
      <c r="A5" s="605">
        <v>124</v>
      </c>
      <c r="B5" s="606" t="s">
        <v>87</v>
      </c>
      <c r="C5" s="607">
        <v>13600</v>
      </c>
      <c r="D5" s="607">
        <v>1460</v>
      </c>
      <c r="E5" s="48"/>
      <c r="F5" s="239">
        <f t="shared" ref="F5:F24" si="0">D5+E5</f>
        <v>1460</v>
      </c>
      <c r="H5" s="589">
        <v>12500</v>
      </c>
    </row>
    <row r="6" spans="1:8">
      <c r="A6" s="605">
        <v>169</v>
      </c>
      <c r="B6" s="606" t="s">
        <v>711</v>
      </c>
      <c r="C6" s="608">
        <v>400</v>
      </c>
      <c r="D6" s="608">
        <v>400</v>
      </c>
      <c r="E6" s="48"/>
      <c r="F6" s="239">
        <f t="shared" si="0"/>
        <v>400</v>
      </c>
      <c r="H6" s="589"/>
    </row>
    <row r="7" spans="1:8">
      <c r="A7" s="605">
        <v>164</v>
      </c>
      <c r="B7" s="606" t="s">
        <v>712</v>
      </c>
      <c r="C7" s="607">
        <v>100</v>
      </c>
      <c r="D7" s="607">
        <v>650</v>
      </c>
      <c r="E7" s="48"/>
      <c r="F7" s="239">
        <f t="shared" si="0"/>
        <v>650</v>
      </c>
      <c r="H7" s="589">
        <v>650</v>
      </c>
    </row>
    <row r="8" spans="1:8">
      <c r="A8" s="605">
        <v>110</v>
      </c>
      <c r="B8" s="606" t="s">
        <v>83</v>
      </c>
      <c r="C8" s="607">
        <v>6000</v>
      </c>
      <c r="D8" s="607">
        <v>2870</v>
      </c>
      <c r="E8" s="48"/>
      <c r="F8" s="239">
        <f t="shared" si="0"/>
        <v>2870</v>
      </c>
      <c r="H8" s="589">
        <v>16500</v>
      </c>
    </row>
    <row r="9" spans="1:8">
      <c r="A9" s="605">
        <v>129</v>
      </c>
      <c r="B9" s="606" t="s">
        <v>89</v>
      </c>
      <c r="C9" s="607"/>
      <c r="D9" s="607"/>
      <c r="E9" s="48"/>
      <c r="F9" s="239">
        <f t="shared" si="0"/>
        <v>0</v>
      </c>
      <c r="H9" s="589">
        <v>100</v>
      </c>
    </row>
    <row r="10" spans="1:8">
      <c r="A10" s="605">
        <v>106</v>
      </c>
      <c r="B10" s="606" t="s">
        <v>81</v>
      </c>
      <c r="C10" s="607">
        <v>3500</v>
      </c>
      <c r="D10" s="607">
        <v>3500</v>
      </c>
      <c r="E10" s="48"/>
      <c r="F10" s="239">
        <f t="shared" si="0"/>
        <v>3500</v>
      </c>
      <c r="H10" s="589">
        <v>500</v>
      </c>
    </row>
    <row r="11" spans="1:8">
      <c r="A11" s="609">
        <v>2</v>
      </c>
      <c r="B11" s="606" t="s">
        <v>74</v>
      </c>
      <c r="C11" s="607">
        <v>1500</v>
      </c>
      <c r="D11" s="607">
        <v>1500</v>
      </c>
      <c r="E11" s="48"/>
      <c r="F11" s="239">
        <f t="shared" si="0"/>
        <v>1500</v>
      </c>
      <c r="H11" s="589">
        <v>1500</v>
      </c>
    </row>
    <row r="12" spans="1:8">
      <c r="A12" s="609">
        <v>140</v>
      </c>
      <c r="B12" s="612" t="s">
        <v>254</v>
      </c>
      <c r="C12" s="607">
        <v>1500</v>
      </c>
      <c r="D12" s="607">
        <v>1500</v>
      </c>
      <c r="E12" s="48"/>
      <c r="F12" s="239">
        <f t="shared" si="0"/>
        <v>1500</v>
      </c>
      <c r="H12" s="589">
        <v>1000</v>
      </c>
    </row>
    <row r="13" spans="1:8">
      <c r="A13" s="605">
        <v>1</v>
      </c>
      <c r="B13" s="606" t="s">
        <v>713</v>
      </c>
      <c r="C13" s="607">
        <v>200</v>
      </c>
      <c r="D13" s="607">
        <v>400</v>
      </c>
      <c r="E13" s="48"/>
      <c r="F13" s="239">
        <f t="shared" si="0"/>
        <v>400</v>
      </c>
      <c r="H13" s="589">
        <v>200</v>
      </c>
    </row>
    <row r="14" spans="1:8">
      <c r="A14" s="609">
        <v>149</v>
      </c>
      <c r="B14" s="606" t="s">
        <v>727</v>
      </c>
      <c r="C14" s="610"/>
      <c r="D14" s="610">
        <v>450</v>
      </c>
      <c r="E14" s="48"/>
      <c r="F14" s="239">
        <f t="shared" si="0"/>
        <v>450</v>
      </c>
      <c r="H14" s="589">
        <v>100</v>
      </c>
    </row>
    <row r="15" spans="1:8">
      <c r="A15" s="605">
        <v>137</v>
      </c>
      <c r="B15" s="606" t="s">
        <v>91</v>
      </c>
      <c r="C15" s="607"/>
      <c r="D15" s="607"/>
      <c r="E15" s="48"/>
      <c r="F15" s="239">
        <f t="shared" si="0"/>
        <v>0</v>
      </c>
      <c r="H15" s="589">
        <v>300</v>
      </c>
    </row>
    <row r="16" spans="1:8">
      <c r="A16" s="609">
        <v>20</v>
      </c>
      <c r="B16" s="606" t="s">
        <v>77</v>
      </c>
      <c r="C16" s="607">
        <v>200</v>
      </c>
      <c r="D16" s="607">
        <v>2200</v>
      </c>
      <c r="E16" s="611"/>
      <c r="F16" s="239">
        <f t="shared" si="0"/>
        <v>2200</v>
      </c>
      <c r="H16" s="589">
        <v>300</v>
      </c>
    </row>
    <row r="17" spans="1:8">
      <c r="A17" s="613"/>
      <c r="B17" s="615" t="s">
        <v>715</v>
      </c>
      <c r="C17" s="614"/>
      <c r="D17" s="614"/>
      <c r="E17" s="48"/>
      <c r="F17" s="239">
        <f t="shared" si="0"/>
        <v>0</v>
      </c>
      <c r="H17" s="589">
        <v>200</v>
      </c>
    </row>
    <row r="18" spans="1:8">
      <c r="A18" s="613"/>
      <c r="B18" s="615" t="s">
        <v>720</v>
      </c>
      <c r="C18" s="614"/>
      <c r="D18" s="614">
        <v>900</v>
      </c>
      <c r="E18" s="48"/>
      <c r="F18" s="239">
        <f t="shared" si="0"/>
        <v>900</v>
      </c>
      <c r="H18" s="589">
        <v>1200</v>
      </c>
    </row>
    <row r="19" spans="1:8" hidden="1">
      <c r="A19" s="613"/>
      <c r="B19" s="615" t="s">
        <v>721</v>
      </c>
      <c r="C19" s="614"/>
      <c r="D19" s="614"/>
      <c r="E19" s="48"/>
      <c r="F19" s="239">
        <f t="shared" si="0"/>
        <v>0</v>
      </c>
      <c r="H19" s="589"/>
    </row>
    <row r="20" spans="1:8">
      <c r="A20" s="613"/>
      <c r="B20" s="620" t="s">
        <v>729</v>
      </c>
      <c r="C20" s="614"/>
      <c r="D20" s="614"/>
      <c r="E20" s="48"/>
      <c r="F20" s="239">
        <f t="shared" si="0"/>
        <v>0</v>
      </c>
      <c r="H20" s="589">
        <v>250</v>
      </c>
    </row>
    <row r="21" spans="1:8">
      <c r="A21" s="613"/>
      <c r="B21" s="615" t="s">
        <v>722</v>
      </c>
      <c r="C21" s="614"/>
      <c r="D21" s="614"/>
      <c r="E21" s="48"/>
      <c r="F21" s="239">
        <f t="shared" si="0"/>
        <v>0</v>
      </c>
      <c r="H21" s="589">
        <v>100</v>
      </c>
    </row>
    <row r="22" spans="1:8">
      <c r="A22" s="613"/>
      <c r="B22" s="620" t="s">
        <v>730</v>
      </c>
      <c r="C22" s="614"/>
      <c r="D22" s="614"/>
      <c r="E22" s="48"/>
      <c r="F22" s="239">
        <f t="shared" si="0"/>
        <v>0</v>
      </c>
      <c r="H22" s="589">
        <v>100</v>
      </c>
    </row>
    <row r="24" spans="1:8">
      <c r="A24" s="613"/>
      <c r="B24" s="615" t="s">
        <v>725</v>
      </c>
      <c r="C24" s="614"/>
      <c r="D24" s="614">
        <v>50</v>
      </c>
      <c r="E24" s="48"/>
      <c r="F24" s="611">
        <f t="shared" si="0"/>
        <v>50</v>
      </c>
      <c r="H24" s="589">
        <v>50</v>
      </c>
    </row>
    <row r="25" spans="1:8">
      <c r="A25" s="613"/>
      <c r="B25" s="620" t="s">
        <v>731</v>
      </c>
      <c r="C25" s="614"/>
      <c r="D25" s="614">
        <v>450</v>
      </c>
      <c r="E25" s="48"/>
      <c r="F25" s="611"/>
      <c r="H25" s="589">
        <v>300</v>
      </c>
    </row>
    <row r="26" spans="1:8">
      <c r="A26" s="613"/>
      <c r="B26" s="636" t="s">
        <v>733</v>
      </c>
      <c r="C26" s="614"/>
      <c r="D26" s="614"/>
      <c r="E26" s="48"/>
      <c r="F26" s="611"/>
      <c r="H26" s="589">
        <v>110</v>
      </c>
    </row>
    <row r="27" spans="1:8">
      <c r="A27" s="613"/>
      <c r="B27" s="620" t="s">
        <v>753</v>
      </c>
      <c r="C27" s="614"/>
      <c r="D27" s="614"/>
      <c r="E27" s="48"/>
      <c r="F27" s="611"/>
      <c r="H27" s="589">
        <v>200</v>
      </c>
    </row>
    <row r="28" spans="1:8">
      <c r="A28" s="609"/>
      <c r="B28" s="606" t="s">
        <v>728</v>
      </c>
      <c r="C28" s="610"/>
      <c r="D28" s="610"/>
      <c r="E28" s="48"/>
      <c r="F28" s="239"/>
      <c r="H28" s="589"/>
    </row>
    <row r="29" spans="1:8">
      <c r="A29" s="605">
        <v>109</v>
      </c>
      <c r="B29" s="606" t="s">
        <v>82</v>
      </c>
      <c r="C29" s="607"/>
      <c r="D29" s="607"/>
      <c r="E29" s="48"/>
      <c r="F29" s="239">
        <f t="shared" ref="F29:F44" si="1">D29+E29</f>
        <v>0</v>
      </c>
      <c r="H29" s="589"/>
    </row>
    <row r="30" spans="1:8">
      <c r="A30" s="609">
        <v>156</v>
      </c>
      <c r="B30" s="606" t="s">
        <v>106</v>
      </c>
      <c r="C30" s="610"/>
      <c r="D30" s="610"/>
      <c r="E30" s="48"/>
      <c r="F30" s="239">
        <f t="shared" si="1"/>
        <v>0</v>
      </c>
      <c r="H30" s="589"/>
    </row>
    <row r="31" spans="1:8">
      <c r="A31" s="613"/>
      <c r="B31" s="615" t="s">
        <v>714</v>
      </c>
      <c r="C31" s="614"/>
      <c r="D31" s="614"/>
      <c r="E31" s="48"/>
      <c r="F31" s="239">
        <f t="shared" si="1"/>
        <v>0</v>
      </c>
      <c r="H31" s="589"/>
    </row>
    <row r="32" spans="1:8">
      <c r="A32" s="613"/>
      <c r="B32" s="616" t="s">
        <v>716</v>
      </c>
      <c r="C32" s="614"/>
      <c r="D32" s="614"/>
      <c r="E32" s="48"/>
      <c r="F32" s="239">
        <f t="shared" si="1"/>
        <v>0</v>
      </c>
      <c r="H32" s="589"/>
    </row>
    <row r="33" spans="1:8">
      <c r="A33" s="613"/>
      <c r="B33" s="615" t="s">
        <v>717</v>
      </c>
      <c r="C33" s="614"/>
      <c r="D33" s="614"/>
      <c r="E33" s="48"/>
      <c r="F33" s="239">
        <f t="shared" si="1"/>
        <v>0</v>
      </c>
      <c r="H33" s="589"/>
    </row>
    <row r="34" spans="1:8" ht="25.5">
      <c r="A34" s="613"/>
      <c r="B34" s="617" t="s">
        <v>718</v>
      </c>
      <c r="C34" s="618"/>
      <c r="D34" s="618"/>
      <c r="E34" s="611"/>
      <c r="F34" s="258">
        <f t="shared" si="1"/>
        <v>0</v>
      </c>
      <c r="H34" s="589"/>
    </row>
    <row r="35" spans="1:8">
      <c r="A35" s="613"/>
      <c r="B35" s="615" t="s">
        <v>719</v>
      </c>
      <c r="C35" s="614"/>
      <c r="D35" s="614"/>
      <c r="E35" s="48"/>
      <c r="F35" s="239">
        <f t="shared" si="1"/>
        <v>0</v>
      </c>
      <c r="H35" s="589"/>
    </row>
    <row r="36" spans="1:8">
      <c r="A36" s="613"/>
      <c r="B36" s="620" t="s">
        <v>754</v>
      </c>
      <c r="C36" s="614"/>
      <c r="D36" s="614"/>
      <c r="E36" s="48"/>
      <c r="F36" s="239">
        <f t="shared" si="1"/>
        <v>0</v>
      </c>
      <c r="H36" s="589"/>
    </row>
    <row r="37" spans="1:8">
      <c r="A37" s="613"/>
      <c r="B37" s="615" t="s">
        <v>723</v>
      </c>
      <c r="C37" s="614"/>
      <c r="D37" s="614"/>
      <c r="E37" s="48"/>
      <c r="F37" s="239">
        <f t="shared" si="1"/>
        <v>0</v>
      </c>
      <c r="H37" s="589"/>
    </row>
    <row r="38" spans="1:8">
      <c r="A38" s="613"/>
      <c r="B38" s="620" t="s">
        <v>755</v>
      </c>
      <c r="C38" s="614"/>
      <c r="D38" s="614"/>
      <c r="E38" s="48"/>
      <c r="F38" s="239">
        <f t="shared" si="1"/>
        <v>0</v>
      </c>
      <c r="H38" s="589"/>
    </row>
    <row r="39" spans="1:8">
      <c r="A39" s="613"/>
      <c r="B39" s="620" t="s">
        <v>756</v>
      </c>
      <c r="C39" s="614"/>
      <c r="D39" s="614"/>
      <c r="E39" s="48"/>
      <c r="F39" s="239">
        <f t="shared" si="1"/>
        <v>0</v>
      </c>
      <c r="H39" s="589"/>
    </row>
    <row r="40" spans="1:8">
      <c r="A40" s="613"/>
      <c r="B40" s="621" t="s">
        <v>757</v>
      </c>
      <c r="C40" s="614"/>
      <c r="D40" s="614"/>
      <c r="E40" s="48"/>
      <c r="F40" s="239">
        <f t="shared" si="1"/>
        <v>0</v>
      </c>
      <c r="H40" s="589"/>
    </row>
    <row r="41" spans="1:8" ht="38.25">
      <c r="A41" s="613"/>
      <c r="B41" s="621" t="s">
        <v>758</v>
      </c>
      <c r="C41" s="618"/>
      <c r="D41" s="618">
        <v>70</v>
      </c>
      <c r="E41" s="611"/>
      <c r="F41" s="611">
        <f t="shared" si="1"/>
        <v>70</v>
      </c>
      <c r="H41" s="589"/>
    </row>
    <row r="42" spans="1:8" ht="25.5">
      <c r="A42" s="613"/>
      <c r="B42" s="621" t="s">
        <v>759</v>
      </c>
      <c r="C42" s="611"/>
      <c r="D42" s="611">
        <v>70</v>
      </c>
      <c r="E42" s="611"/>
      <c r="F42" s="611">
        <f t="shared" si="1"/>
        <v>70</v>
      </c>
      <c r="H42" s="589"/>
    </row>
    <row r="43" spans="1:8">
      <c r="A43" s="613"/>
      <c r="B43" s="620" t="s">
        <v>760</v>
      </c>
      <c r="C43" s="611"/>
      <c r="D43" s="611">
        <v>40</v>
      </c>
      <c r="E43" s="611"/>
      <c r="F43" s="611">
        <f t="shared" si="1"/>
        <v>40</v>
      </c>
      <c r="H43" s="589"/>
    </row>
    <row r="44" spans="1:8">
      <c r="A44" s="613"/>
      <c r="B44" s="615" t="s">
        <v>724</v>
      </c>
      <c r="C44" s="614"/>
      <c r="D44" s="614"/>
      <c r="E44" s="48"/>
      <c r="F44" s="239">
        <f t="shared" si="1"/>
        <v>0</v>
      </c>
      <c r="H44" s="589"/>
    </row>
    <row r="45" spans="1:8">
      <c r="A45" s="613"/>
      <c r="B45" s="620" t="s">
        <v>75</v>
      </c>
      <c r="C45" s="614"/>
      <c r="D45" s="614"/>
      <c r="E45" s="48"/>
      <c r="F45" s="611"/>
      <c r="H45" s="589"/>
    </row>
    <row r="46" spans="1:8">
      <c r="A46" s="613"/>
      <c r="B46" s="620"/>
      <c r="C46" s="614"/>
      <c r="D46" s="614"/>
      <c r="E46" s="48"/>
      <c r="F46" s="611"/>
      <c r="H46" s="589"/>
    </row>
    <row r="47" spans="1:8">
      <c r="A47" s="254"/>
      <c r="B47" s="237"/>
      <c r="C47" s="48"/>
      <c r="D47" s="48"/>
      <c r="E47" s="48"/>
      <c r="F47" s="239"/>
      <c r="H47" s="589"/>
    </row>
    <row r="48" spans="1:8">
      <c r="A48" s="254"/>
      <c r="B48" s="604" t="s">
        <v>20</v>
      </c>
      <c r="C48" s="307">
        <f>SUM(C1:C47)</f>
        <v>27300</v>
      </c>
      <c r="D48" s="307">
        <f>SUM(D1:D47)</f>
        <v>16810</v>
      </c>
      <c r="E48" s="307">
        <f>SUM(E1:E47)</f>
        <v>0</v>
      </c>
      <c r="F48" s="307">
        <f>SUM(F4:F47)</f>
        <v>16360</v>
      </c>
      <c r="H48" s="590">
        <f>SUM(H4:H47)</f>
        <v>36160</v>
      </c>
    </row>
    <row r="49" spans="1:4">
      <c r="A49" s="175"/>
      <c r="B49" s="175"/>
      <c r="C49" s="315"/>
      <c r="D49" s="315"/>
    </row>
  </sheetData>
  <hyperlinks>
    <hyperlink ref="H1" location="'Výdaje 2014 - shrnutí'!A1" display="zpět"/>
  </hyperlink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E41"/>
  <sheetViews>
    <sheetView topLeftCell="B1" workbookViewId="0">
      <selection activeCell="D37" sqref="D37"/>
    </sheetView>
  </sheetViews>
  <sheetFormatPr defaultRowHeight="12.75"/>
  <cols>
    <col min="1" max="1" width="28.42578125" hidden="1" customWidth="1"/>
    <col min="2" max="2" width="60.5703125" customWidth="1"/>
    <col min="3" max="3" width="17.42578125" customWidth="1"/>
    <col min="4" max="4" width="15.42578125" customWidth="1"/>
    <col min="5" max="5" width="17.140625" customWidth="1"/>
  </cols>
  <sheetData>
    <row r="2" spans="1:5">
      <c r="B2" t="s">
        <v>608</v>
      </c>
    </row>
    <row r="4" spans="1:5">
      <c r="A4" s="75" t="s">
        <v>313</v>
      </c>
      <c r="B4" s="488" t="s">
        <v>419</v>
      </c>
      <c r="C4" s="507"/>
    </row>
    <row r="5" spans="1:5" ht="25.5">
      <c r="A5" s="2"/>
      <c r="B5" s="49" t="s">
        <v>22</v>
      </c>
      <c r="C5" s="534" t="s">
        <v>613</v>
      </c>
      <c r="D5" t="s">
        <v>614</v>
      </c>
      <c r="E5" t="s">
        <v>615</v>
      </c>
    </row>
    <row r="6" spans="1:5">
      <c r="A6" s="2" t="s">
        <v>420</v>
      </c>
      <c r="B6" s="11" t="s">
        <v>410</v>
      </c>
      <c r="C6" s="562">
        <f>'Výdaje 2014 - podrobně'!Y213</f>
        <v>598.37099999999998</v>
      </c>
      <c r="D6">
        <v>598.37099999999998</v>
      </c>
      <c r="E6" s="149">
        <f>D6-C6</f>
        <v>0</v>
      </c>
    </row>
    <row r="7" spans="1:5">
      <c r="A7" s="2"/>
      <c r="B7" s="11" t="s">
        <v>325</v>
      </c>
      <c r="C7" s="562">
        <f>'Výdaje 2014 - podrobně'!Y214</f>
        <v>59.975000000000001</v>
      </c>
      <c r="D7">
        <v>59.975000000000001</v>
      </c>
      <c r="E7" s="149">
        <f t="shared" ref="E7:E36" si="0">D7-C7</f>
        <v>0</v>
      </c>
    </row>
    <row r="8" spans="1:5">
      <c r="A8" s="2"/>
      <c r="B8" s="11" t="s">
        <v>326</v>
      </c>
      <c r="C8" s="562">
        <f>'Výdaje 2014 - podrobně'!Y215</f>
        <v>231.62599999999998</v>
      </c>
      <c r="D8">
        <v>231.626</v>
      </c>
      <c r="E8" s="149">
        <f t="shared" si="0"/>
        <v>0</v>
      </c>
    </row>
    <row r="9" spans="1:5">
      <c r="A9" s="2"/>
      <c r="B9" s="11" t="s">
        <v>327</v>
      </c>
      <c r="C9" s="562">
        <f>'Výdaje 2014 - podrobně'!Y216</f>
        <v>96.8</v>
      </c>
      <c r="D9">
        <v>96.8</v>
      </c>
      <c r="E9" s="149">
        <f t="shared" si="0"/>
        <v>0</v>
      </c>
    </row>
    <row r="10" spans="1:5">
      <c r="A10" s="2"/>
      <c r="B10" s="11" t="s">
        <v>328</v>
      </c>
      <c r="C10" s="562">
        <f>'Výdaje 2014 - podrobně'!Y217</f>
        <v>3.5960000000000001</v>
      </c>
      <c r="D10">
        <v>3.5960000000000001</v>
      </c>
      <c r="E10" s="149">
        <f t="shared" si="0"/>
        <v>0</v>
      </c>
    </row>
    <row r="11" spans="1:5">
      <c r="A11" s="2"/>
      <c r="B11" s="11" t="s">
        <v>421</v>
      </c>
      <c r="C11" s="562">
        <f>'Výdaje 2014 - podrobně'!Y218</f>
        <v>0</v>
      </c>
      <c r="E11" s="149">
        <f t="shared" si="0"/>
        <v>0</v>
      </c>
    </row>
    <row r="12" spans="1:5">
      <c r="A12" s="2"/>
      <c r="B12" s="17" t="s">
        <v>601</v>
      </c>
      <c r="C12" s="562">
        <f>'Výdaje 2014 - podrobně'!Y219</f>
        <v>0.23379</v>
      </c>
      <c r="D12">
        <v>0.23379</v>
      </c>
      <c r="E12" s="149">
        <f t="shared" si="0"/>
        <v>0</v>
      </c>
    </row>
    <row r="13" spans="1:5">
      <c r="A13" s="2"/>
      <c r="B13" s="11" t="s">
        <v>411</v>
      </c>
      <c r="C13" s="562">
        <f>'Výdaje 2014 - podrobně'!Y220</f>
        <v>0</v>
      </c>
      <c r="E13" s="149">
        <f t="shared" si="0"/>
        <v>0</v>
      </c>
    </row>
    <row r="14" spans="1:5">
      <c r="A14" s="2"/>
      <c r="B14" s="11" t="s">
        <v>330</v>
      </c>
      <c r="C14" s="562">
        <f>'Výdaje 2014 - podrobně'!Y221</f>
        <v>20.324000000000002</v>
      </c>
      <c r="D14">
        <v>20.324000000000002</v>
      </c>
      <c r="E14" s="149">
        <f t="shared" si="0"/>
        <v>0</v>
      </c>
    </row>
    <row r="15" spans="1:5">
      <c r="A15" s="2"/>
      <c r="B15" s="11" t="s">
        <v>422</v>
      </c>
      <c r="C15" s="562">
        <f>'Výdaje 2014 - podrobně'!Y222+'Výdaje 2014 - podrobně'!Y269</f>
        <v>156.51249999999999</v>
      </c>
      <c r="D15">
        <v>156.51249999999999</v>
      </c>
      <c r="E15" s="149">
        <f t="shared" si="0"/>
        <v>0</v>
      </c>
    </row>
    <row r="16" spans="1:5">
      <c r="A16" s="2"/>
      <c r="B16" s="11" t="s">
        <v>331</v>
      </c>
      <c r="C16" s="562">
        <f>'Výdaje 2014 - podrobně'!Y223+'Výdaje 2014 - podrobně'!Y245+'Výdaje 2014 - podrobně'!Y261+'Výdaje 2014 - podrobně'!Y270+'Výdaje 2014 - podrobně'!Y255</f>
        <v>45.022849999999998</v>
      </c>
      <c r="D16">
        <v>45.022849999999998</v>
      </c>
      <c r="E16" s="149">
        <f t="shared" si="0"/>
        <v>0</v>
      </c>
    </row>
    <row r="17" spans="1:5">
      <c r="A17" s="2"/>
      <c r="B17" s="11" t="s">
        <v>352</v>
      </c>
      <c r="C17" s="562">
        <f>'Výdaje 2014 - podrobně'!Y224+'Výdaje 2014 - podrobně'!Y246</f>
        <v>4.8179999999999996</v>
      </c>
      <c r="D17">
        <v>4.8179999999999996</v>
      </c>
      <c r="E17" s="149">
        <f t="shared" si="0"/>
        <v>0</v>
      </c>
    </row>
    <row r="18" spans="1:5">
      <c r="A18" s="2"/>
      <c r="B18" s="52" t="s">
        <v>23</v>
      </c>
      <c r="C18" s="562">
        <f>'Výdaje 2014 - podrobně'!Y225</f>
        <v>124</v>
      </c>
      <c r="D18">
        <v>124</v>
      </c>
      <c r="E18" s="149">
        <f t="shared" si="0"/>
        <v>0</v>
      </c>
    </row>
    <row r="19" spans="1:5">
      <c r="A19" s="2"/>
      <c r="B19" s="17" t="s">
        <v>609</v>
      </c>
      <c r="C19" s="562">
        <f>'Výdaje 2014 - podrobně'!Y247</f>
        <v>33.167999999999999</v>
      </c>
      <c r="D19">
        <v>33.167999999999999</v>
      </c>
      <c r="E19" s="149">
        <f t="shared" si="0"/>
        <v>0</v>
      </c>
    </row>
    <row r="20" spans="1:5">
      <c r="A20" s="2"/>
      <c r="B20" s="11" t="s">
        <v>345</v>
      </c>
      <c r="C20" s="562">
        <f>'Výdaje 2014 - podrobně'!Y226+'Výdaje 2014 - podrobně'!Y248+'Výdaje 2014 - podrobně'!Y262</f>
        <v>45.955680000000001</v>
      </c>
      <c r="D20">
        <v>45.955680000000001</v>
      </c>
      <c r="E20" s="149">
        <f t="shared" si="0"/>
        <v>0</v>
      </c>
    </row>
    <row r="21" spans="1:5">
      <c r="A21" s="2"/>
      <c r="B21" s="11" t="s">
        <v>332</v>
      </c>
      <c r="C21" s="562">
        <f>'Výdaje 2014 - podrobně'!Y227</f>
        <v>0</v>
      </c>
      <c r="E21" s="149">
        <f t="shared" si="0"/>
        <v>0</v>
      </c>
    </row>
    <row r="22" spans="1:5">
      <c r="A22" s="2"/>
      <c r="B22" s="11" t="s">
        <v>412</v>
      </c>
      <c r="C22" s="562">
        <f>'Výdaje 2014 - podrobně'!Y228</f>
        <v>19.544</v>
      </c>
      <c r="D22">
        <v>19.544</v>
      </c>
      <c r="E22" s="149">
        <f t="shared" si="0"/>
        <v>0</v>
      </c>
    </row>
    <row r="23" spans="1:5">
      <c r="A23" s="2"/>
      <c r="B23" s="11" t="s">
        <v>423</v>
      </c>
      <c r="C23" s="562">
        <f>'Výdaje 2014 - podrobně'!Y229+'Výdaje 2014 - podrobně'!Y249</f>
        <v>28.867989999999999</v>
      </c>
      <c r="D23">
        <v>28.867989999999999</v>
      </c>
      <c r="E23" s="149">
        <f t="shared" si="0"/>
        <v>0</v>
      </c>
    </row>
    <row r="24" spans="1:5">
      <c r="A24" s="2"/>
      <c r="B24" s="17" t="s">
        <v>334</v>
      </c>
      <c r="C24" s="562">
        <f>'Výdaje 2014 - podrobně'!Y230+'Výdaje 2014 - podrobně'!Y250</f>
        <v>0</v>
      </c>
      <c r="E24" s="149">
        <f t="shared" si="0"/>
        <v>0</v>
      </c>
    </row>
    <row r="25" spans="1:5">
      <c r="A25" s="2"/>
      <c r="B25" s="11" t="s">
        <v>425</v>
      </c>
      <c r="C25" s="562">
        <f>'Výdaje 2014 - podrobně'!Y231</f>
        <v>4</v>
      </c>
      <c r="D25">
        <v>4</v>
      </c>
      <c r="E25" s="149">
        <f t="shared" si="0"/>
        <v>0</v>
      </c>
    </row>
    <row r="26" spans="1:5">
      <c r="A26" s="2"/>
      <c r="B26" s="11" t="s">
        <v>319</v>
      </c>
      <c r="C26" s="562">
        <f>'Výdaje 2014 - podrobně'!Y232</f>
        <v>6.4</v>
      </c>
      <c r="D26">
        <v>6.4</v>
      </c>
      <c r="E26" s="149">
        <f t="shared" si="0"/>
        <v>0</v>
      </c>
    </row>
    <row r="27" spans="1:5" ht="13.5" customHeight="1">
      <c r="A27" s="2"/>
      <c r="B27" s="471" t="s">
        <v>320</v>
      </c>
      <c r="C27" s="563">
        <f>'Výdaje 2014 - podrobně'!Y233+'Výdaje 2014 - podrobně'!Y251+'Výdaje 2014 - podrobně'!Y256+'Výdaje 2014 - podrobně'!Y263+'Výdaje 2014 - podrobně'!Y271</f>
        <v>1481.1695100000002</v>
      </c>
      <c r="D27">
        <v>1481.1695099999999</v>
      </c>
      <c r="E27" s="149">
        <f t="shared" si="0"/>
        <v>0</v>
      </c>
    </row>
    <row r="28" spans="1:5">
      <c r="A28" s="2"/>
      <c r="B28" s="11" t="s">
        <v>335</v>
      </c>
      <c r="C28" s="562">
        <f>'Výdaje 2014 - podrobně'!Y234</f>
        <v>2.41</v>
      </c>
      <c r="D28">
        <v>2.41</v>
      </c>
      <c r="E28" s="149">
        <f t="shared" si="0"/>
        <v>0</v>
      </c>
    </row>
    <row r="29" spans="1:5">
      <c r="A29" s="2"/>
      <c r="B29" s="11" t="s">
        <v>416</v>
      </c>
      <c r="C29" s="562">
        <f>'Výdaje 2014 - podrobně'!Y235</f>
        <v>1.1739999999999999</v>
      </c>
      <c r="D29">
        <v>1.1739999999999999</v>
      </c>
      <c r="E29" s="149">
        <f t="shared" si="0"/>
        <v>0</v>
      </c>
    </row>
    <row r="30" spans="1:5">
      <c r="A30" s="2"/>
      <c r="B30" s="11" t="s">
        <v>426</v>
      </c>
      <c r="C30" s="562">
        <f>'Výdaje 2014 - podrobně'!Y236+'Výdaje 2014 - podrobně'!Y264+'Výdaje 2014 - podrobně'!Y257+'Výdaje 2014 - podrobně'!Y272</f>
        <v>18.100000000000001</v>
      </c>
      <c r="D30">
        <v>18.100000000000001</v>
      </c>
      <c r="E30" s="149">
        <f t="shared" si="0"/>
        <v>0</v>
      </c>
    </row>
    <row r="31" spans="1:5">
      <c r="A31" s="2"/>
      <c r="B31" s="11" t="s">
        <v>427</v>
      </c>
      <c r="C31" s="562">
        <f>'Výdaje 2014 - podrobně'!Y237</f>
        <v>0</v>
      </c>
      <c r="E31" s="149">
        <f t="shared" si="0"/>
        <v>0</v>
      </c>
    </row>
    <row r="32" spans="1:5">
      <c r="A32" s="2"/>
      <c r="B32" s="11" t="s">
        <v>428</v>
      </c>
      <c r="C32" s="562">
        <f>'Výdaje 2014 - podrobně'!Y238</f>
        <v>0</v>
      </c>
      <c r="D32" s="555"/>
      <c r="E32" s="149">
        <f t="shared" si="0"/>
        <v>0</v>
      </c>
    </row>
    <row r="33" spans="1:5">
      <c r="A33" s="2"/>
      <c r="B33" s="11" t="s">
        <v>429</v>
      </c>
      <c r="C33" s="562">
        <f>'Výdaje 2014 - podrobně'!Y239+'Výdaje 2014 - podrobně'!Y265</f>
        <v>0</v>
      </c>
      <c r="D33" s="556"/>
      <c r="E33" s="149">
        <f t="shared" si="0"/>
        <v>0</v>
      </c>
    </row>
    <row r="34" spans="1:5">
      <c r="A34" s="2"/>
      <c r="B34" s="17" t="s">
        <v>635</v>
      </c>
      <c r="C34" s="562">
        <f>'Výdaje 2014 - podrobně'!Y276</f>
        <v>70</v>
      </c>
      <c r="D34">
        <v>70</v>
      </c>
      <c r="E34" s="149">
        <f t="shared" si="0"/>
        <v>0</v>
      </c>
    </row>
    <row r="35" spans="1:5">
      <c r="A35" s="2"/>
      <c r="B35" s="11" t="s">
        <v>418</v>
      </c>
      <c r="C35" s="562">
        <f>'Výdaje 2014 - podrobně'!Y240</f>
        <v>0.23</v>
      </c>
      <c r="D35">
        <v>0.23</v>
      </c>
      <c r="E35" s="149">
        <f t="shared" si="0"/>
        <v>0</v>
      </c>
    </row>
    <row r="36" spans="1:5">
      <c r="A36" s="2"/>
      <c r="B36" s="11" t="s">
        <v>338</v>
      </c>
      <c r="C36" s="562">
        <f>'Výdaje 2014 - podrobně'!Y241</f>
        <v>27.125</v>
      </c>
      <c r="D36">
        <v>27.125</v>
      </c>
      <c r="E36" s="149">
        <f t="shared" si="0"/>
        <v>0</v>
      </c>
    </row>
    <row r="37" spans="1:5">
      <c r="A37" s="2"/>
      <c r="B37" s="53"/>
      <c r="C37" s="440">
        <f>SUM(C6:C36)</f>
        <v>3079.4233199999999</v>
      </c>
      <c r="D37" s="440">
        <f>SUM(D6:D36)</f>
        <v>3079.4233199999999</v>
      </c>
      <c r="E37" s="440">
        <f>SUM(E6:E36)</f>
        <v>0</v>
      </c>
    </row>
    <row r="38" spans="1:5">
      <c r="B38" s="557" t="s">
        <v>639</v>
      </c>
      <c r="C38" s="149">
        <f>C37-D37</f>
        <v>0</v>
      </c>
    </row>
    <row r="39" spans="1:5">
      <c r="E39" s="149"/>
    </row>
    <row r="40" spans="1:5">
      <c r="B40" t="s">
        <v>636</v>
      </c>
      <c r="C40">
        <v>27.905999999999999</v>
      </c>
      <c r="D40">
        <v>27.905999999999999</v>
      </c>
    </row>
    <row r="41" spans="1:5">
      <c r="B41" t="s">
        <v>637</v>
      </c>
      <c r="C41" s="149">
        <f>C37+C40</f>
        <v>3107.3293199999998</v>
      </c>
      <c r="D41" s="149">
        <f>D37+D40</f>
        <v>3107.3293199999998</v>
      </c>
    </row>
  </sheetData>
  <conditionalFormatting sqref="E6:E3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73"/>
  <sheetViews>
    <sheetView topLeftCell="A34" zoomScaleNormal="100" workbookViewId="0">
      <selection activeCell="Q69" sqref="Q69"/>
    </sheetView>
  </sheetViews>
  <sheetFormatPr defaultRowHeight="12.75"/>
  <cols>
    <col min="1" max="1" width="4" style="1" customWidth="1"/>
    <col min="2" max="2" width="3.7109375" style="1" customWidth="1"/>
    <col min="3" max="3" width="2.5703125" style="150" customWidth="1"/>
    <col min="4" max="4" width="3.5703125" style="150" customWidth="1"/>
    <col min="5" max="5" width="3.85546875" style="1" customWidth="1"/>
    <col min="6" max="6" width="5.28515625" style="1" customWidth="1"/>
    <col min="7" max="7" width="6.7109375" style="2" customWidth="1"/>
    <col min="8" max="8" width="5.140625" customWidth="1"/>
    <col min="9" max="9" width="36.7109375" style="317" customWidth="1"/>
    <col min="10" max="10" width="9" style="85" customWidth="1"/>
    <col min="11" max="11" width="8.7109375" style="82" customWidth="1"/>
    <col min="12" max="12" width="9.140625" style="152"/>
    <col min="13" max="13" width="9.140625" customWidth="1"/>
    <col min="14" max="14" width="1.28515625" style="72" customWidth="1"/>
    <col min="15" max="15" width="9.140625" style="82"/>
    <col min="16" max="16" width="2.85546875" style="82" customWidth="1"/>
    <col min="17" max="17" width="9.85546875" style="82" customWidth="1"/>
    <col min="18" max="18" width="13.5703125" style="82" customWidth="1"/>
    <col min="19" max="19" width="2.85546875" style="82" hidden="1" customWidth="1"/>
    <col min="20" max="20" width="9.5703125" style="152" hidden="1" customWidth="1"/>
    <col min="21" max="21" width="9.42578125" hidden="1" customWidth="1"/>
    <col min="22" max="22" width="0.85546875" style="72" hidden="1" customWidth="1"/>
    <col min="23" max="23" width="0" hidden="1" customWidth="1"/>
    <col min="24" max="24" width="11.7109375" style="153" hidden="1" customWidth="1"/>
    <col min="25" max="25" width="14.5703125" style="149" customWidth="1"/>
    <col min="26" max="26" width="19.5703125" style="149" customWidth="1"/>
    <col min="27" max="27" width="16.140625" customWidth="1"/>
  </cols>
  <sheetData>
    <row r="2" spans="1:27">
      <c r="I2" s="151" t="s">
        <v>218</v>
      </c>
    </row>
    <row r="4" spans="1:27" ht="33.75">
      <c r="A4" s="7" t="s">
        <v>0</v>
      </c>
      <c r="B4" s="7" t="s">
        <v>1</v>
      </c>
      <c r="C4" s="57" t="s">
        <v>2</v>
      </c>
      <c r="D4" s="57" t="s">
        <v>3</v>
      </c>
      <c r="E4" s="7" t="s">
        <v>4</v>
      </c>
      <c r="F4" s="7" t="s">
        <v>5</v>
      </c>
      <c r="G4" s="154" t="s">
        <v>6</v>
      </c>
      <c r="H4" s="155"/>
      <c r="I4" s="156" t="s">
        <v>68</v>
      </c>
      <c r="J4" s="157" t="s">
        <v>219</v>
      </c>
      <c r="K4" s="158" t="s">
        <v>220</v>
      </c>
      <c r="L4" s="159" t="s">
        <v>221</v>
      </c>
      <c r="M4" s="150"/>
      <c r="N4" s="160"/>
      <c r="O4" s="161" t="s">
        <v>222</v>
      </c>
      <c r="P4" s="161"/>
      <c r="Q4" s="161"/>
      <c r="R4" s="161"/>
      <c r="S4" s="161"/>
      <c r="T4" s="161" t="s">
        <v>223</v>
      </c>
      <c r="U4" s="159" t="s">
        <v>222</v>
      </c>
      <c r="W4" s="162" t="s">
        <v>224</v>
      </c>
      <c r="Z4" s="149">
        <v>11237.59059</v>
      </c>
    </row>
    <row r="5" spans="1:27">
      <c r="A5" s="163" t="s">
        <v>225</v>
      </c>
      <c r="B5" s="163" t="s">
        <v>226</v>
      </c>
      <c r="C5" s="164"/>
      <c r="D5" s="165">
        <v>7777</v>
      </c>
      <c r="E5" s="166">
        <v>10</v>
      </c>
      <c r="F5" s="166">
        <v>2212</v>
      </c>
      <c r="G5" s="167">
        <v>6121</v>
      </c>
      <c r="H5" s="168">
        <v>51</v>
      </c>
      <c r="I5" s="169" t="s">
        <v>78</v>
      </c>
      <c r="J5" s="170">
        <v>10100</v>
      </c>
      <c r="K5" s="170"/>
      <c r="L5" s="170">
        <f t="shared" ref="L5:L43" si="0">SUM(J5:K5)</f>
        <v>10100</v>
      </c>
      <c r="O5" s="170">
        <v>10058.549999999999</v>
      </c>
      <c r="P5" s="171"/>
      <c r="Q5" s="170">
        <v>10049.47867</v>
      </c>
      <c r="R5" s="170"/>
      <c r="S5" s="171"/>
      <c r="T5" s="172">
        <f t="shared" ref="T5:T50" si="1">SUM(L5-O5)</f>
        <v>41.450000000000728</v>
      </c>
      <c r="W5" s="173">
        <f t="shared" ref="W5:W20" si="2">SUM(O5/J5*100)</f>
        <v>99.589603960396033</v>
      </c>
      <c r="X5" s="153" t="s">
        <v>227</v>
      </c>
      <c r="AA5" s="174">
        <f>Z4-R10</f>
        <v>47.875120000000607</v>
      </c>
    </row>
    <row r="6" spans="1:27">
      <c r="A6" s="163" t="s">
        <v>225</v>
      </c>
      <c r="B6" s="163" t="s">
        <v>228</v>
      </c>
      <c r="C6" s="164"/>
      <c r="D6" s="164"/>
      <c r="E6" s="166">
        <v>10</v>
      </c>
      <c r="F6" s="166">
        <v>2212</v>
      </c>
      <c r="G6" s="167">
        <v>6121</v>
      </c>
      <c r="H6" s="168">
        <v>123</v>
      </c>
      <c r="I6" s="169" t="s">
        <v>86</v>
      </c>
      <c r="J6" s="170">
        <v>300</v>
      </c>
      <c r="K6" s="170"/>
      <c r="L6" s="170">
        <f t="shared" si="0"/>
        <v>300</v>
      </c>
      <c r="O6" s="170">
        <v>0</v>
      </c>
      <c r="P6" s="171"/>
      <c r="Q6" s="170">
        <v>0</v>
      </c>
      <c r="R6" s="170"/>
      <c r="S6" s="171"/>
      <c r="T6" s="170">
        <f t="shared" si="1"/>
        <v>300</v>
      </c>
      <c r="W6" s="173">
        <f t="shared" si="2"/>
        <v>0</v>
      </c>
    </row>
    <row r="7" spans="1:27">
      <c r="A7" s="163" t="s">
        <v>225</v>
      </c>
      <c r="B7" s="163" t="s">
        <v>229</v>
      </c>
      <c r="C7" s="164"/>
      <c r="D7" s="164"/>
      <c r="E7" s="166">
        <v>10</v>
      </c>
      <c r="F7" s="166">
        <v>2212</v>
      </c>
      <c r="G7" s="167">
        <v>6121</v>
      </c>
      <c r="H7" s="168">
        <v>124</v>
      </c>
      <c r="I7" s="169" t="s">
        <v>87</v>
      </c>
      <c r="J7" s="170">
        <v>500</v>
      </c>
      <c r="K7" s="170"/>
      <c r="L7" s="170">
        <f t="shared" si="0"/>
        <v>500</v>
      </c>
      <c r="M7" s="175"/>
      <c r="N7" s="176"/>
      <c r="O7" s="177">
        <v>110.81480000000001</v>
      </c>
      <c r="P7" s="178"/>
      <c r="Q7" s="177">
        <v>292.31479999999999</v>
      </c>
      <c r="R7" s="177"/>
      <c r="S7" s="178"/>
      <c r="T7" s="170">
        <f t="shared" si="1"/>
        <v>389.18520000000001</v>
      </c>
      <c r="W7" s="173">
        <f t="shared" si="2"/>
        <v>22.162960000000002</v>
      </c>
    </row>
    <row r="8" spans="1:27">
      <c r="A8" s="163"/>
      <c r="B8" s="163"/>
      <c r="C8" s="164"/>
      <c r="D8" s="164"/>
      <c r="E8" s="166">
        <v>10</v>
      </c>
      <c r="F8" s="166">
        <v>2212</v>
      </c>
      <c r="G8" s="167">
        <v>6121</v>
      </c>
      <c r="H8" s="168">
        <v>125</v>
      </c>
      <c r="I8" s="169" t="s">
        <v>88</v>
      </c>
      <c r="J8" s="170">
        <v>142.13</v>
      </c>
      <c r="K8" s="170"/>
      <c r="L8" s="170">
        <f t="shared" si="0"/>
        <v>142.13</v>
      </c>
      <c r="M8" s="175"/>
      <c r="N8" s="176"/>
      <c r="O8" s="170">
        <v>142.13</v>
      </c>
      <c r="P8" s="171"/>
      <c r="Q8" s="172">
        <v>142.13</v>
      </c>
      <c r="R8" s="170">
        <f>Z4-Q5-Q6-Q9-Q10</f>
        <v>482.31991999999934</v>
      </c>
      <c r="S8" s="171"/>
      <c r="T8" s="172">
        <f t="shared" si="1"/>
        <v>0</v>
      </c>
      <c r="W8" s="173">
        <f t="shared" si="2"/>
        <v>100</v>
      </c>
      <c r="X8" s="153" t="s">
        <v>156</v>
      </c>
    </row>
    <row r="9" spans="1:27">
      <c r="A9" s="163" t="s">
        <v>225</v>
      </c>
      <c r="B9" s="163" t="s">
        <v>230</v>
      </c>
      <c r="C9" s="164"/>
      <c r="D9" s="164"/>
      <c r="E9" s="166">
        <v>10</v>
      </c>
      <c r="F9" s="166">
        <v>2212</v>
      </c>
      <c r="G9" s="167">
        <v>6121</v>
      </c>
      <c r="H9" s="168">
        <v>132</v>
      </c>
      <c r="I9" s="169" t="s">
        <v>231</v>
      </c>
      <c r="J9" s="170">
        <v>700</v>
      </c>
      <c r="K9" s="170"/>
      <c r="L9" s="170">
        <f t="shared" si="0"/>
        <v>700</v>
      </c>
      <c r="M9" s="175"/>
      <c r="N9" s="176"/>
      <c r="O9" s="170">
        <v>252.53280000000001</v>
      </c>
      <c r="P9" s="171"/>
      <c r="Q9" s="170">
        <v>0</v>
      </c>
      <c r="R9" s="170"/>
      <c r="S9" s="171"/>
      <c r="T9" s="177">
        <f t="shared" si="1"/>
        <v>447.46719999999999</v>
      </c>
      <c r="W9" s="173">
        <f t="shared" si="2"/>
        <v>36.07611428571429</v>
      </c>
      <c r="X9" s="153" t="s">
        <v>156</v>
      </c>
      <c r="Z9" s="149" t="s">
        <v>232</v>
      </c>
    </row>
    <row r="10" spans="1:27">
      <c r="A10" s="163" t="s">
        <v>225</v>
      </c>
      <c r="B10" s="163" t="s">
        <v>8</v>
      </c>
      <c r="C10" s="164"/>
      <c r="D10" s="164"/>
      <c r="E10" s="166">
        <v>10</v>
      </c>
      <c r="F10" s="166">
        <v>2212</v>
      </c>
      <c r="G10" s="167">
        <v>6121</v>
      </c>
      <c r="H10" s="168">
        <v>139</v>
      </c>
      <c r="I10" s="169" t="s">
        <v>92</v>
      </c>
      <c r="J10" s="170">
        <v>705.79</v>
      </c>
      <c r="K10" s="170"/>
      <c r="L10" s="170">
        <f t="shared" si="0"/>
        <v>705.79</v>
      </c>
      <c r="M10" s="179">
        <f>SUM(L5:L10)</f>
        <v>12447.919999999998</v>
      </c>
      <c r="N10" s="180"/>
      <c r="O10" s="170">
        <v>705.79</v>
      </c>
      <c r="P10" s="171"/>
      <c r="Q10" s="181">
        <v>705.79200000000003</v>
      </c>
      <c r="R10" s="181">
        <f>SUM(Q5:Q10)</f>
        <v>11189.715469999999</v>
      </c>
      <c r="S10" s="182"/>
      <c r="T10" s="183">
        <f t="shared" si="1"/>
        <v>0</v>
      </c>
      <c r="U10" s="181">
        <f>SUM(O5:O10)</f>
        <v>11269.817599999998</v>
      </c>
      <c r="V10" s="184"/>
      <c r="W10" s="185">
        <f t="shared" si="2"/>
        <v>100</v>
      </c>
      <c r="X10" s="186" t="s">
        <v>156</v>
      </c>
      <c r="Y10" s="187">
        <v>11237.59059</v>
      </c>
      <c r="Z10" s="187">
        <f>Y10-R10</f>
        <v>47.875120000000607</v>
      </c>
    </row>
    <row r="11" spans="1:27">
      <c r="A11" s="188" t="s">
        <v>225</v>
      </c>
      <c r="B11" s="188" t="s">
        <v>233</v>
      </c>
      <c r="C11" s="189"/>
      <c r="D11" s="189"/>
      <c r="E11" s="190">
        <v>10</v>
      </c>
      <c r="F11" s="190">
        <v>2219</v>
      </c>
      <c r="G11" s="191">
        <v>6121</v>
      </c>
      <c r="H11" s="192">
        <v>79</v>
      </c>
      <c r="I11" s="193" t="s">
        <v>80</v>
      </c>
      <c r="J11" s="194">
        <v>0</v>
      </c>
      <c r="K11" s="194"/>
      <c r="L11" s="194">
        <f t="shared" si="0"/>
        <v>0</v>
      </c>
      <c r="M11" s="175"/>
      <c r="N11" s="176"/>
      <c r="O11" s="194">
        <v>0</v>
      </c>
      <c r="P11" s="171"/>
      <c r="Q11" s="194">
        <v>0</v>
      </c>
      <c r="R11" s="194"/>
      <c r="S11" s="171"/>
      <c r="T11" s="195">
        <f t="shared" si="1"/>
        <v>0</v>
      </c>
      <c r="W11" s="173" t="e">
        <f t="shared" si="2"/>
        <v>#DIV/0!</v>
      </c>
      <c r="X11" s="153" t="s">
        <v>156</v>
      </c>
      <c r="Z11" s="187"/>
    </row>
    <row r="12" spans="1:27">
      <c r="A12" s="188"/>
      <c r="B12" s="188"/>
      <c r="C12" s="189"/>
      <c r="D12" s="189"/>
      <c r="E12" s="190">
        <v>10</v>
      </c>
      <c r="F12" s="190">
        <v>2219</v>
      </c>
      <c r="G12" s="191">
        <v>6121</v>
      </c>
      <c r="H12" s="192">
        <v>166</v>
      </c>
      <c r="I12" s="193" t="s">
        <v>114</v>
      </c>
      <c r="J12" s="194">
        <v>120</v>
      </c>
      <c r="K12" s="194"/>
      <c r="L12" s="194">
        <f t="shared" si="0"/>
        <v>120</v>
      </c>
      <c r="M12" s="175"/>
      <c r="N12" s="176"/>
      <c r="O12" s="194">
        <v>0</v>
      </c>
      <c r="P12" s="171"/>
      <c r="Q12" s="194">
        <v>0</v>
      </c>
      <c r="R12" s="194"/>
      <c r="S12" s="171"/>
      <c r="T12" s="194">
        <f t="shared" si="1"/>
        <v>120</v>
      </c>
      <c r="W12" s="173">
        <f t="shared" si="2"/>
        <v>0</v>
      </c>
      <c r="Z12" s="187"/>
      <c r="AA12" s="85"/>
    </row>
    <row r="13" spans="1:27">
      <c r="A13" s="188" t="s">
        <v>225</v>
      </c>
      <c r="B13" s="188" t="s">
        <v>234</v>
      </c>
      <c r="C13" s="189"/>
      <c r="D13" s="189"/>
      <c r="E13" s="190">
        <v>10</v>
      </c>
      <c r="F13" s="190">
        <v>2219</v>
      </c>
      <c r="G13" s="191">
        <v>6121</v>
      </c>
      <c r="H13" s="196">
        <v>146</v>
      </c>
      <c r="I13" s="193" t="s">
        <v>96</v>
      </c>
      <c r="J13" s="197">
        <v>6660.69</v>
      </c>
      <c r="K13" s="194"/>
      <c r="L13" s="194">
        <f t="shared" si="0"/>
        <v>6660.69</v>
      </c>
      <c r="M13" s="198">
        <f>SUM(L11:L13)</f>
        <v>6780.69</v>
      </c>
      <c r="N13" s="199"/>
      <c r="O13" s="200">
        <v>514.91490999999996</v>
      </c>
      <c r="P13" s="178"/>
      <c r="Q13" s="201">
        <v>1330.1956299999999</v>
      </c>
      <c r="R13" s="201">
        <f>SUM(Q11:Q13)</f>
        <v>1330.1956299999999</v>
      </c>
      <c r="S13" s="182"/>
      <c r="T13" s="201">
        <f t="shared" si="1"/>
        <v>6145.7750899999992</v>
      </c>
      <c r="U13" s="201">
        <f>SUM(O11:O13)</f>
        <v>514.91490999999996</v>
      </c>
      <c r="V13" s="184"/>
      <c r="W13" s="185">
        <f t="shared" si="2"/>
        <v>7.7306541814736907</v>
      </c>
      <c r="X13" s="186" t="s">
        <v>235</v>
      </c>
      <c r="Y13" s="187">
        <v>1395.5097800000001</v>
      </c>
      <c r="Z13" s="187">
        <f t="shared" ref="Z13:Z50" si="3">Y13-R13</f>
        <v>65.314150000000154</v>
      </c>
      <c r="AA13" s="85">
        <v>8109.3553899999997</v>
      </c>
    </row>
    <row r="14" spans="1:27">
      <c r="A14" s="202" t="s">
        <v>225</v>
      </c>
      <c r="B14" s="202" t="s">
        <v>236</v>
      </c>
      <c r="C14" s="203"/>
      <c r="D14" s="203"/>
      <c r="E14" s="204" t="s">
        <v>15</v>
      </c>
      <c r="F14" s="205">
        <v>2310</v>
      </c>
      <c r="G14" s="206">
        <v>6121</v>
      </c>
      <c r="H14" s="207">
        <v>116</v>
      </c>
      <c r="I14" s="208" t="s">
        <v>84</v>
      </c>
      <c r="J14" s="209">
        <v>500</v>
      </c>
      <c r="K14" s="209"/>
      <c r="L14" s="210">
        <f t="shared" si="0"/>
        <v>500</v>
      </c>
      <c r="M14" s="175"/>
      <c r="N14" s="176"/>
      <c r="O14" s="209">
        <v>18.149999999999999</v>
      </c>
      <c r="P14" s="171"/>
      <c r="Q14" s="209"/>
      <c r="R14" s="209"/>
      <c r="S14" s="171"/>
      <c r="T14" s="209">
        <f t="shared" si="1"/>
        <v>481.85</v>
      </c>
      <c r="W14" s="173">
        <f t="shared" si="2"/>
        <v>3.63</v>
      </c>
      <c r="Y14" s="187"/>
      <c r="Z14" s="187"/>
      <c r="AA14" s="85"/>
    </row>
    <row r="15" spans="1:27">
      <c r="A15" s="211" t="s">
        <v>225</v>
      </c>
      <c r="B15" s="211" t="s">
        <v>237</v>
      </c>
      <c r="C15" s="203"/>
      <c r="D15" s="203"/>
      <c r="E15" s="204" t="s">
        <v>15</v>
      </c>
      <c r="F15" s="205">
        <v>2310</v>
      </c>
      <c r="G15" s="206">
        <v>6121</v>
      </c>
      <c r="H15" s="207">
        <v>164</v>
      </c>
      <c r="I15" s="208" t="s">
        <v>238</v>
      </c>
      <c r="J15" s="209">
        <v>100</v>
      </c>
      <c r="K15" s="209"/>
      <c r="L15" s="210">
        <f t="shared" si="0"/>
        <v>100</v>
      </c>
      <c r="M15" s="175"/>
      <c r="N15" s="176"/>
      <c r="O15" s="209">
        <v>21.78</v>
      </c>
      <c r="P15" s="171"/>
      <c r="Q15" s="209"/>
      <c r="R15" s="209"/>
      <c r="S15" s="171"/>
      <c r="T15" s="209">
        <f t="shared" si="1"/>
        <v>78.22</v>
      </c>
      <c r="W15" s="173">
        <f t="shared" si="2"/>
        <v>21.78</v>
      </c>
      <c r="Y15" s="187"/>
      <c r="Z15" s="187"/>
      <c r="AA15" s="85">
        <f>Z13-AA13</f>
        <v>-8044.0412399999996</v>
      </c>
    </row>
    <row r="16" spans="1:27">
      <c r="A16" s="212" t="s">
        <v>225</v>
      </c>
      <c r="B16" s="212" t="s">
        <v>239</v>
      </c>
      <c r="C16" s="203"/>
      <c r="D16" s="203"/>
      <c r="E16" s="204" t="s">
        <v>15</v>
      </c>
      <c r="F16" s="205">
        <v>2310</v>
      </c>
      <c r="G16" s="206">
        <v>6121</v>
      </c>
      <c r="H16" s="207">
        <v>163</v>
      </c>
      <c r="I16" s="208" t="s">
        <v>113</v>
      </c>
      <c r="J16" s="209">
        <v>500</v>
      </c>
      <c r="K16" s="209"/>
      <c r="L16" s="209">
        <f>SUM(J16:K16)</f>
        <v>500</v>
      </c>
      <c r="M16" s="213">
        <f>SUM(L14:L16)</f>
        <v>1100</v>
      </c>
      <c r="N16" s="214"/>
      <c r="O16" s="209">
        <v>24.14</v>
      </c>
      <c r="P16" s="171"/>
      <c r="Q16" s="209"/>
      <c r="R16" s="209"/>
      <c r="S16" s="171"/>
      <c r="T16" s="209">
        <f t="shared" si="1"/>
        <v>475.86</v>
      </c>
      <c r="U16" s="209">
        <f>SUM(O14:O16)</f>
        <v>64.069999999999993</v>
      </c>
      <c r="V16" s="180"/>
      <c r="W16" s="173">
        <f t="shared" si="2"/>
        <v>4.8280000000000003</v>
      </c>
      <c r="Y16" s="187">
        <v>875.08839</v>
      </c>
      <c r="Z16" s="187">
        <f t="shared" si="3"/>
        <v>875.08839</v>
      </c>
      <c r="AA16" s="85">
        <v>214.98240000000001</v>
      </c>
    </row>
    <row r="17" spans="1:27">
      <c r="A17" s="215" t="s">
        <v>225</v>
      </c>
      <c r="B17" s="215" t="s">
        <v>240</v>
      </c>
      <c r="C17" s="216"/>
      <c r="D17" s="216"/>
      <c r="E17" s="217" t="s">
        <v>15</v>
      </c>
      <c r="F17" s="218">
        <v>2321</v>
      </c>
      <c r="G17" s="219">
        <v>6121</v>
      </c>
      <c r="H17" s="220">
        <v>17</v>
      </c>
      <c r="I17" s="221" t="s">
        <v>76</v>
      </c>
      <c r="J17" s="222">
        <v>636.67999999999995</v>
      </c>
      <c r="K17" s="222"/>
      <c r="L17" s="222">
        <f t="shared" si="0"/>
        <v>636.67999999999995</v>
      </c>
      <c r="M17" s="175"/>
      <c r="N17" s="176"/>
      <c r="O17" s="222">
        <v>636.67999999999995</v>
      </c>
      <c r="P17" s="171"/>
      <c r="Q17" s="222"/>
      <c r="R17" s="222"/>
      <c r="S17" s="171"/>
      <c r="T17" s="223">
        <f t="shared" si="1"/>
        <v>0</v>
      </c>
      <c r="W17" s="173">
        <f t="shared" si="2"/>
        <v>100</v>
      </c>
      <c r="X17" s="153" t="s">
        <v>156</v>
      </c>
      <c r="Y17" s="187"/>
      <c r="Z17" s="187"/>
      <c r="AA17" s="85">
        <f>AA15+AA16</f>
        <v>-7829.0588399999997</v>
      </c>
    </row>
    <row r="18" spans="1:27">
      <c r="A18" s="215" t="s">
        <v>225</v>
      </c>
      <c r="B18" s="215" t="s">
        <v>241</v>
      </c>
      <c r="C18" s="216"/>
      <c r="D18" s="216"/>
      <c r="E18" s="217" t="s">
        <v>15</v>
      </c>
      <c r="F18" s="218">
        <v>2321</v>
      </c>
      <c r="G18" s="219">
        <v>6121</v>
      </c>
      <c r="H18" s="220">
        <v>147</v>
      </c>
      <c r="I18" s="221" t="s">
        <v>242</v>
      </c>
      <c r="J18" s="224">
        <v>600</v>
      </c>
      <c r="K18" s="222"/>
      <c r="L18" s="222">
        <f t="shared" si="0"/>
        <v>600</v>
      </c>
      <c r="M18" s="175"/>
      <c r="N18" s="176"/>
      <c r="O18" s="222">
        <v>523.74</v>
      </c>
      <c r="P18" s="171"/>
      <c r="Q18" s="222"/>
      <c r="R18" s="222"/>
      <c r="S18" s="171"/>
      <c r="T18" s="222">
        <f t="shared" si="1"/>
        <v>76.259999999999991</v>
      </c>
      <c r="W18" s="173">
        <f t="shared" si="2"/>
        <v>87.29</v>
      </c>
      <c r="Y18" s="187"/>
      <c r="Z18" s="187"/>
      <c r="AA18" s="85"/>
    </row>
    <row r="19" spans="1:27" s="2" customFormat="1" ht="22.5" customHeight="1">
      <c r="A19" s="215"/>
      <c r="B19" s="215"/>
      <c r="C19" s="216"/>
      <c r="D19" s="216"/>
      <c r="E19" s="217" t="s">
        <v>15</v>
      </c>
      <c r="F19" s="218">
        <v>2321</v>
      </c>
      <c r="G19" s="225">
        <v>6121</v>
      </c>
      <c r="H19" s="226">
        <v>151</v>
      </c>
      <c r="I19" s="227" t="s">
        <v>243</v>
      </c>
      <c r="J19" s="228">
        <v>100</v>
      </c>
      <c r="K19" s="229"/>
      <c r="L19" s="229">
        <f t="shared" si="0"/>
        <v>100</v>
      </c>
      <c r="M19" s="78"/>
      <c r="N19" s="77"/>
      <c r="O19" s="229"/>
      <c r="P19" s="230"/>
      <c r="Q19" s="229"/>
      <c r="R19" s="229"/>
      <c r="S19" s="230"/>
      <c r="T19" s="229">
        <f t="shared" si="1"/>
        <v>100</v>
      </c>
      <c r="V19" s="81"/>
      <c r="W19" s="231">
        <f t="shared" si="2"/>
        <v>0</v>
      </c>
      <c r="X19" s="1"/>
      <c r="Y19" s="187"/>
      <c r="Z19" s="187"/>
      <c r="AA19" s="85"/>
    </row>
    <row r="20" spans="1:27">
      <c r="A20" s="215" t="s">
        <v>225</v>
      </c>
      <c r="B20" s="215" t="s">
        <v>244</v>
      </c>
      <c r="C20" s="216"/>
      <c r="D20" s="216"/>
      <c r="E20" s="217" t="s">
        <v>15</v>
      </c>
      <c r="F20" s="218">
        <v>2321</v>
      </c>
      <c r="G20" s="219">
        <v>6121</v>
      </c>
      <c r="H20" s="220">
        <v>152</v>
      </c>
      <c r="I20" s="221" t="s">
        <v>102</v>
      </c>
      <c r="J20" s="224">
        <v>600</v>
      </c>
      <c r="K20" s="232"/>
      <c r="L20" s="222">
        <f t="shared" si="0"/>
        <v>600</v>
      </c>
      <c r="M20" s="175"/>
      <c r="N20" s="199"/>
      <c r="O20" s="222">
        <v>463.84699999999998</v>
      </c>
      <c r="P20" s="171"/>
      <c r="Q20" s="222"/>
      <c r="R20" s="222"/>
      <c r="S20" s="171"/>
      <c r="T20" s="222">
        <f t="shared" si="1"/>
        <v>136.15300000000002</v>
      </c>
      <c r="U20" s="2"/>
      <c r="V20" s="180"/>
      <c r="W20" s="173">
        <f t="shared" si="2"/>
        <v>77.307833333333335</v>
      </c>
      <c r="Y20" s="187"/>
      <c r="Z20" s="187"/>
      <c r="AA20" s="85"/>
    </row>
    <row r="21" spans="1:27">
      <c r="A21" s="215"/>
      <c r="B21" s="215"/>
      <c r="C21" s="216"/>
      <c r="D21" s="216"/>
      <c r="E21" s="217"/>
      <c r="F21" s="218"/>
      <c r="G21" s="219"/>
      <c r="H21" s="220">
        <v>165</v>
      </c>
      <c r="I21" s="221" t="s">
        <v>116</v>
      </c>
      <c r="J21" s="224">
        <v>500</v>
      </c>
      <c r="K21" s="229"/>
      <c r="L21" s="222">
        <v>500</v>
      </c>
      <c r="M21" s="233">
        <f>SUM(L17:L21)</f>
        <v>2436.6799999999998</v>
      </c>
      <c r="N21" s="199"/>
      <c r="O21" s="222"/>
      <c r="P21" s="171"/>
      <c r="Q21" s="222"/>
      <c r="R21" s="222"/>
      <c r="S21" s="171"/>
      <c r="T21" s="222">
        <f t="shared" si="1"/>
        <v>500</v>
      </c>
      <c r="U21" s="222">
        <f>SUM(O17:O21)</f>
        <v>1624.2670000000001</v>
      </c>
      <c r="V21" s="180"/>
      <c r="W21" s="173"/>
      <c r="Y21" s="187">
        <v>1728.54792</v>
      </c>
      <c r="Z21" s="187">
        <f t="shared" si="3"/>
        <v>1728.54792</v>
      </c>
      <c r="AA21" s="85"/>
    </row>
    <row r="22" spans="1:27">
      <c r="A22" s="234" t="s">
        <v>225</v>
      </c>
      <c r="B22" s="234" t="s">
        <v>26</v>
      </c>
      <c r="C22" s="57"/>
      <c r="D22" s="235">
        <v>6969</v>
      </c>
      <c r="E22" s="7">
        <v>14</v>
      </c>
      <c r="F22" s="7">
        <v>3111</v>
      </c>
      <c r="G22" s="236">
        <v>6121</v>
      </c>
      <c r="H22" s="237">
        <v>69</v>
      </c>
      <c r="I22" s="238" t="s">
        <v>79</v>
      </c>
      <c r="J22" s="239">
        <v>4000</v>
      </c>
      <c r="K22" s="171"/>
      <c r="L22" s="230">
        <f t="shared" si="0"/>
        <v>4000</v>
      </c>
      <c r="M22" s="175"/>
      <c r="N22" s="176"/>
      <c r="O22" s="171">
        <v>427.89</v>
      </c>
      <c r="P22" s="171"/>
      <c r="Q22" s="171"/>
      <c r="R22" s="171"/>
      <c r="S22" s="171"/>
      <c r="T22" s="171">
        <f t="shared" si="1"/>
        <v>3572.11</v>
      </c>
      <c r="W22" s="173">
        <f t="shared" ref="W22:W46" si="4">SUM(O22/J22*100)</f>
        <v>10.69725</v>
      </c>
      <c r="Y22" s="187">
        <v>3783.2407600000001</v>
      </c>
      <c r="Z22" s="187">
        <f t="shared" si="3"/>
        <v>3783.2407600000001</v>
      </c>
      <c r="AA22" s="85"/>
    </row>
    <row r="23" spans="1:27">
      <c r="A23" s="234" t="s">
        <v>225</v>
      </c>
      <c r="B23" s="234" t="s">
        <v>245</v>
      </c>
      <c r="C23" s="57"/>
      <c r="D23" s="235">
        <v>1112</v>
      </c>
      <c r="E23" s="7">
        <v>14</v>
      </c>
      <c r="F23" s="7">
        <v>3113</v>
      </c>
      <c r="G23" s="236">
        <v>6121</v>
      </c>
      <c r="H23" s="237">
        <v>110</v>
      </c>
      <c r="I23" s="238" t="s">
        <v>83</v>
      </c>
      <c r="J23" s="239">
        <v>6000</v>
      </c>
      <c r="K23" s="171"/>
      <c r="L23" s="230">
        <f t="shared" si="0"/>
        <v>6000</v>
      </c>
      <c r="M23" s="175"/>
      <c r="N23" s="176"/>
      <c r="O23" s="171">
        <v>283.94319999999999</v>
      </c>
      <c r="P23" s="171"/>
      <c r="Q23" s="171"/>
      <c r="R23" s="171"/>
      <c r="S23" s="171"/>
      <c r="T23" s="171">
        <f t="shared" si="1"/>
        <v>5716.0568000000003</v>
      </c>
      <c r="W23" s="173">
        <f t="shared" si="4"/>
        <v>4.7323866666666667</v>
      </c>
      <c r="Y23" s="187">
        <v>343.11219999999997</v>
      </c>
      <c r="Z23" s="187">
        <f t="shared" si="3"/>
        <v>343.11219999999997</v>
      </c>
      <c r="AA23" s="85"/>
    </row>
    <row r="24" spans="1:27">
      <c r="A24" s="240"/>
      <c r="B24" s="240"/>
      <c r="C24" s="241"/>
      <c r="D24" s="241"/>
      <c r="E24" s="242">
        <v>16</v>
      </c>
      <c r="F24" s="242">
        <v>3319</v>
      </c>
      <c r="G24" s="243">
        <v>6121</v>
      </c>
      <c r="H24" s="244">
        <v>129</v>
      </c>
      <c r="I24" s="245" t="s">
        <v>89</v>
      </c>
      <c r="J24" s="246">
        <v>0</v>
      </c>
      <c r="K24" s="246"/>
      <c r="L24" s="246">
        <f t="shared" si="0"/>
        <v>0</v>
      </c>
      <c r="M24" s="175"/>
      <c r="N24" s="176"/>
      <c r="O24" s="246">
        <v>0</v>
      </c>
      <c r="P24" s="171"/>
      <c r="Q24" s="246"/>
      <c r="R24" s="246"/>
      <c r="S24" s="171"/>
      <c r="T24" s="247">
        <f t="shared" si="1"/>
        <v>0</v>
      </c>
      <c r="W24" s="173" t="e">
        <f t="shared" si="4"/>
        <v>#DIV/0!</v>
      </c>
      <c r="Y24" s="187"/>
      <c r="Z24" s="187"/>
      <c r="AA24" s="85"/>
    </row>
    <row r="25" spans="1:27">
      <c r="A25" s="240" t="s">
        <v>225</v>
      </c>
      <c r="B25" s="240" t="s">
        <v>246</v>
      </c>
      <c r="C25" s="241"/>
      <c r="D25" s="241"/>
      <c r="E25" s="242">
        <v>16</v>
      </c>
      <c r="F25" s="242">
        <v>3319</v>
      </c>
      <c r="G25" s="243">
        <v>6121</v>
      </c>
      <c r="H25" s="248">
        <v>143</v>
      </c>
      <c r="I25" s="245" t="s">
        <v>95</v>
      </c>
      <c r="J25" s="249">
        <v>500</v>
      </c>
      <c r="K25" s="246"/>
      <c r="L25" s="246">
        <f t="shared" si="0"/>
        <v>500</v>
      </c>
      <c r="M25" s="250">
        <f>SUM(L25+L24)</f>
        <v>500</v>
      </c>
      <c r="N25" s="199"/>
      <c r="O25" s="246">
        <v>359.28545000000003</v>
      </c>
      <c r="P25" s="171"/>
      <c r="Q25" s="246"/>
      <c r="R25" s="246"/>
      <c r="S25" s="171"/>
      <c r="T25" s="246">
        <f t="shared" si="1"/>
        <v>140.71454999999997</v>
      </c>
      <c r="U25" s="246">
        <f>SUM(O24:O25)</f>
        <v>359.28545000000003</v>
      </c>
      <c r="V25" s="180"/>
      <c r="W25" s="173">
        <f t="shared" si="4"/>
        <v>71.857089999999999</v>
      </c>
      <c r="Y25" s="187">
        <v>253.83645000000001</v>
      </c>
      <c r="Z25" s="187">
        <f t="shared" si="3"/>
        <v>253.83645000000001</v>
      </c>
    </row>
    <row r="26" spans="1:27">
      <c r="A26" s="234" t="s">
        <v>225</v>
      </c>
      <c r="B26" s="234" t="s">
        <v>246</v>
      </c>
      <c r="C26" s="57"/>
      <c r="D26" s="57"/>
      <c r="E26" s="7">
        <v>39</v>
      </c>
      <c r="F26" s="7">
        <v>3319</v>
      </c>
      <c r="G26" s="251">
        <v>6122</v>
      </c>
      <c r="H26" s="238">
        <v>143</v>
      </c>
      <c r="I26" s="238" t="s">
        <v>95</v>
      </c>
      <c r="J26" s="48"/>
      <c r="K26" s="252"/>
      <c r="L26" s="230"/>
      <c r="M26" s="175"/>
      <c r="N26" s="176"/>
      <c r="O26" s="252"/>
      <c r="P26" s="252"/>
      <c r="Q26" s="252"/>
      <c r="R26" s="252"/>
      <c r="S26" s="252"/>
      <c r="T26" s="253">
        <f t="shared" si="1"/>
        <v>0</v>
      </c>
      <c r="W26" s="173" t="e">
        <f t="shared" si="4"/>
        <v>#DIV/0!</v>
      </c>
      <c r="X26" s="153" t="s">
        <v>156</v>
      </c>
      <c r="Y26" s="187">
        <v>202.047</v>
      </c>
      <c r="Z26" s="187">
        <f t="shared" si="3"/>
        <v>202.047</v>
      </c>
    </row>
    <row r="27" spans="1:27">
      <c r="A27" s="234" t="s">
        <v>225</v>
      </c>
      <c r="B27" s="234" t="s">
        <v>247</v>
      </c>
      <c r="C27" s="57"/>
      <c r="D27" s="57"/>
      <c r="E27" s="7">
        <v>39</v>
      </c>
      <c r="F27" s="7">
        <v>3412</v>
      </c>
      <c r="G27" s="251">
        <v>6121</v>
      </c>
      <c r="H27" s="254">
        <v>155</v>
      </c>
      <c r="I27" s="238" t="s">
        <v>105</v>
      </c>
      <c r="J27" s="48">
        <v>135.47</v>
      </c>
      <c r="K27" s="252"/>
      <c r="L27" s="230">
        <f>SUM(J27:K27)</f>
        <v>135.47</v>
      </c>
      <c r="M27" s="175"/>
      <c r="N27" s="176"/>
      <c r="O27" s="252">
        <v>135.47</v>
      </c>
      <c r="P27" s="252"/>
      <c r="Q27" s="252"/>
      <c r="R27" s="252"/>
      <c r="S27" s="252"/>
      <c r="T27" s="253"/>
      <c r="W27" s="173"/>
      <c r="Y27" s="187">
        <v>135.47200000000001</v>
      </c>
      <c r="Z27" s="187">
        <f t="shared" si="3"/>
        <v>135.47200000000001</v>
      </c>
    </row>
    <row r="28" spans="1:27">
      <c r="A28" s="234"/>
      <c r="B28" s="234"/>
      <c r="C28" s="57"/>
      <c r="D28" s="57"/>
      <c r="E28" s="7">
        <v>39</v>
      </c>
      <c r="F28" s="7">
        <v>3419</v>
      </c>
      <c r="G28" s="255">
        <v>6429</v>
      </c>
      <c r="H28" s="256">
        <v>160</v>
      </c>
      <c r="I28" s="257" t="s">
        <v>110</v>
      </c>
      <c r="J28" s="258">
        <v>120</v>
      </c>
      <c r="K28" s="230"/>
      <c r="L28" s="230">
        <f t="shared" si="0"/>
        <v>120</v>
      </c>
      <c r="M28" s="175"/>
      <c r="N28" s="176"/>
      <c r="O28" s="230">
        <v>120</v>
      </c>
      <c r="P28" s="230"/>
      <c r="Q28" s="230"/>
      <c r="R28" s="230"/>
      <c r="S28" s="230"/>
      <c r="T28" s="230">
        <f t="shared" si="1"/>
        <v>0</v>
      </c>
      <c r="W28" s="173">
        <f t="shared" si="4"/>
        <v>100</v>
      </c>
      <c r="Y28" s="187">
        <v>120</v>
      </c>
      <c r="Z28" s="187">
        <f t="shared" si="3"/>
        <v>120</v>
      </c>
    </row>
    <row r="29" spans="1:27">
      <c r="A29" s="259" t="s">
        <v>225</v>
      </c>
      <c r="B29" s="259" t="s">
        <v>248</v>
      </c>
      <c r="C29" s="260"/>
      <c r="D29" s="260"/>
      <c r="E29" s="261">
        <v>39</v>
      </c>
      <c r="F29" s="261">
        <v>3421</v>
      </c>
      <c r="G29" s="262">
        <v>6121</v>
      </c>
      <c r="H29" s="263">
        <v>120</v>
      </c>
      <c r="I29" s="264" t="s">
        <v>85</v>
      </c>
      <c r="J29" s="265">
        <v>97.3</v>
      </c>
      <c r="K29" s="265"/>
      <c r="L29" s="265">
        <f t="shared" si="0"/>
        <v>97.3</v>
      </c>
      <c r="M29" s="175"/>
      <c r="N29" s="176"/>
      <c r="O29" s="265">
        <v>97.3</v>
      </c>
      <c r="P29" s="171"/>
      <c r="Q29" s="265"/>
      <c r="R29" s="265"/>
      <c r="S29" s="171"/>
      <c r="T29" s="266">
        <f t="shared" si="1"/>
        <v>0</v>
      </c>
      <c r="W29" s="173">
        <f t="shared" si="4"/>
        <v>100</v>
      </c>
      <c r="Y29" s="187"/>
      <c r="Z29" s="187"/>
    </row>
    <row r="30" spans="1:27">
      <c r="A30" s="259" t="s">
        <v>225</v>
      </c>
      <c r="B30" s="259" t="s">
        <v>249</v>
      </c>
      <c r="C30" s="260"/>
      <c r="D30" s="260"/>
      <c r="E30" s="261">
        <v>39</v>
      </c>
      <c r="F30" s="261">
        <v>3421</v>
      </c>
      <c r="G30" s="262">
        <v>6121</v>
      </c>
      <c r="H30" s="267">
        <v>142</v>
      </c>
      <c r="I30" s="264" t="s">
        <v>94</v>
      </c>
      <c r="J30" s="268">
        <v>414.08</v>
      </c>
      <c r="K30" s="265"/>
      <c r="L30" s="265">
        <f t="shared" si="0"/>
        <v>414.08</v>
      </c>
      <c r="M30" s="175"/>
      <c r="N30" s="176"/>
      <c r="O30" s="265">
        <v>414.08</v>
      </c>
      <c r="P30" s="171"/>
      <c r="Q30" s="265"/>
      <c r="R30" s="265"/>
      <c r="S30" s="171"/>
      <c r="T30" s="266">
        <f t="shared" si="1"/>
        <v>0</v>
      </c>
      <c r="W30" s="173">
        <f t="shared" si="4"/>
        <v>100</v>
      </c>
      <c r="Y30" s="187"/>
      <c r="Z30" s="187"/>
    </row>
    <row r="31" spans="1:27">
      <c r="A31" s="259" t="s">
        <v>225</v>
      </c>
      <c r="B31" s="259" t="s">
        <v>250</v>
      </c>
      <c r="C31" s="260"/>
      <c r="D31" s="260"/>
      <c r="E31" s="261">
        <v>39</v>
      </c>
      <c r="F31" s="261">
        <v>3421</v>
      </c>
      <c r="G31" s="262">
        <v>6121</v>
      </c>
      <c r="H31" s="267">
        <v>148</v>
      </c>
      <c r="I31" s="264" t="s">
        <v>98</v>
      </c>
      <c r="J31" s="268">
        <v>497.1</v>
      </c>
      <c r="K31" s="265"/>
      <c r="L31" s="265">
        <f t="shared" si="0"/>
        <v>497.1</v>
      </c>
      <c r="M31" s="269">
        <f>SUM(L29:L31)</f>
        <v>1008.48</v>
      </c>
      <c r="N31" s="199"/>
      <c r="O31" s="265">
        <v>497.1</v>
      </c>
      <c r="P31" s="171"/>
      <c r="Q31" s="265"/>
      <c r="R31" s="265"/>
      <c r="S31" s="171"/>
      <c r="T31" s="266">
        <f t="shared" si="1"/>
        <v>0</v>
      </c>
      <c r="U31" s="265">
        <f>SUM(O29:O31)</f>
        <v>1008.48</v>
      </c>
      <c r="V31" s="180"/>
      <c r="W31" s="173">
        <f t="shared" si="4"/>
        <v>100</v>
      </c>
      <c r="X31" s="153" t="s">
        <v>156</v>
      </c>
      <c r="Y31" s="187">
        <v>1003.3962</v>
      </c>
      <c r="Z31" s="187">
        <f t="shared" si="3"/>
        <v>1003.3962</v>
      </c>
    </row>
    <row r="32" spans="1:27">
      <c r="A32" s="234" t="s">
        <v>225</v>
      </c>
      <c r="B32" s="234" t="s">
        <v>251</v>
      </c>
      <c r="C32" s="57"/>
      <c r="D32" s="57"/>
      <c r="E32" s="7">
        <v>39</v>
      </c>
      <c r="F32" s="7">
        <v>3611</v>
      </c>
      <c r="G32" s="251">
        <v>6121</v>
      </c>
      <c r="H32" s="237">
        <v>106</v>
      </c>
      <c r="I32" s="238" t="s">
        <v>81</v>
      </c>
      <c r="J32" s="239">
        <v>500</v>
      </c>
      <c r="K32" s="171"/>
      <c r="L32" s="230">
        <f t="shared" si="0"/>
        <v>500</v>
      </c>
      <c r="M32" s="175"/>
      <c r="N32" s="176"/>
      <c r="O32" s="171">
        <v>138.83000000000001</v>
      </c>
      <c r="P32" s="171"/>
      <c r="Q32" s="171"/>
      <c r="R32" s="171"/>
      <c r="S32" s="171"/>
      <c r="T32" s="171">
        <f t="shared" si="1"/>
        <v>361.16999999999996</v>
      </c>
      <c r="W32" s="173">
        <f t="shared" si="4"/>
        <v>27.766000000000002</v>
      </c>
      <c r="Y32" s="187">
        <v>138.833</v>
      </c>
      <c r="Z32" s="187">
        <f t="shared" si="3"/>
        <v>138.833</v>
      </c>
    </row>
    <row r="33" spans="1:26">
      <c r="A33" s="270" t="s">
        <v>225</v>
      </c>
      <c r="B33" s="270" t="s">
        <v>252</v>
      </c>
      <c r="C33" s="271"/>
      <c r="D33" s="272">
        <v>1000</v>
      </c>
      <c r="E33" s="273">
        <v>39</v>
      </c>
      <c r="F33" s="273">
        <v>3612</v>
      </c>
      <c r="G33" s="274">
        <v>6121</v>
      </c>
      <c r="H33" s="275">
        <v>2</v>
      </c>
      <c r="I33" s="276" t="s">
        <v>74</v>
      </c>
      <c r="J33" s="277">
        <v>1500</v>
      </c>
      <c r="K33" s="277"/>
      <c r="L33" s="278">
        <f t="shared" si="0"/>
        <v>1500</v>
      </c>
      <c r="M33" s="279"/>
      <c r="N33" s="280"/>
      <c r="O33" s="281">
        <v>1447.6389999999999</v>
      </c>
      <c r="P33" s="252"/>
      <c r="Q33" s="281">
        <v>0</v>
      </c>
      <c r="R33" s="281"/>
      <c r="S33" s="252"/>
      <c r="T33" s="281">
        <f t="shared" si="1"/>
        <v>52.361000000000104</v>
      </c>
      <c r="W33" s="173">
        <f t="shared" si="4"/>
        <v>96.509266666666662</v>
      </c>
      <c r="Y33" s="187"/>
      <c r="Z33" s="187"/>
    </row>
    <row r="34" spans="1:26">
      <c r="A34" s="270" t="s">
        <v>225</v>
      </c>
      <c r="B34" s="270" t="s">
        <v>253</v>
      </c>
      <c r="C34" s="271"/>
      <c r="D34" s="272"/>
      <c r="E34" s="273">
        <v>39</v>
      </c>
      <c r="F34" s="273">
        <v>3612</v>
      </c>
      <c r="G34" s="274">
        <v>6121</v>
      </c>
      <c r="H34" s="275">
        <v>140</v>
      </c>
      <c r="I34" s="282" t="s">
        <v>254</v>
      </c>
      <c r="J34" s="277">
        <v>1500</v>
      </c>
      <c r="K34" s="277"/>
      <c r="L34" s="278">
        <f t="shared" si="0"/>
        <v>1500</v>
      </c>
      <c r="M34" s="175"/>
      <c r="N34" s="176"/>
      <c r="O34" s="277">
        <v>10</v>
      </c>
      <c r="P34" s="171"/>
      <c r="Q34" s="277">
        <v>10</v>
      </c>
      <c r="R34" s="277"/>
      <c r="S34" s="171"/>
      <c r="T34" s="281">
        <f t="shared" si="1"/>
        <v>1490</v>
      </c>
      <c r="W34" s="173">
        <f t="shared" si="4"/>
        <v>0.66666666666666674</v>
      </c>
      <c r="Y34" s="187"/>
      <c r="Z34" s="187"/>
    </row>
    <row r="35" spans="1:26">
      <c r="A35" s="270" t="s">
        <v>225</v>
      </c>
      <c r="B35" s="270" t="s">
        <v>255</v>
      </c>
      <c r="C35" s="271"/>
      <c r="D35" s="272"/>
      <c r="E35" s="273">
        <v>39</v>
      </c>
      <c r="F35" s="273">
        <v>3612</v>
      </c>
      <c r="G35" s="274">
        <v>6121</v>
      </c>
      <c r="H35" s="275">
        <v>153</v>
      </c>
      <c r="I35" s="276" t="s">
        <v>103</v>
      </c>
      <c r="J35" s="281">
        <v>375</v>
      </c>
      <c r="K35" s="281"/>
      <c r="L35" s="278">
        <f t="shared" si="0"/>
        <v>375</v>
      </c>
      <c r="M35" s="175"/>
      <c r="N35" s="176"/>
      <c r="O35" s="281"/>
      <c r="P35" s="252"/>
      <c r="Q35" s="281">
        <v>365.4171</v>
      </c>
      <c r="R35" s="281"/>
      <c r="S35" s="252"/>
      <c r="T35" s="283">
        <f t="shared" si="1"/>
        <v>375</v>
      </c>
      <c r="W35" s="173">
        <f t="shared" si="4"/>
        <v>0</v>
      </c>
      <c r="X35" s="153" t="s">
        <v>156</v>
      </c>
      <c r="Y35" s="187"/>
      <c r="Z35" s="187"/>
    </row>
    <row r="36" spans="1:26">
      <c r="A36" s="270" t="s">
        <v>225</v>
      </c>
      <c r="B36" s="270" t="s">
        <v>256</v>
      </c>
      <c r="C36" s="271"/>
      <c r="D36" s="272"/>
      <c r="E36" s="273">
        <v>39</v>
      </c>
      <c r="F36" s="273">
        <v>3612</v>
      </c>
      <c r="G36" s="274">
        <v>6121</v>
      </c>
      <c r="H36" s="275">
        <v>154</v>
      </c>
      <c r="I36" s="276" t="s">
        <v>104</v>
      </c>
      <c r="J36" s="281">
        <v>375</v>
      </c>
      <c r="K36" s="281"/>
      <c r="L36" s="278">
        <f t="shared" si="0"/>
        <v>375</v>
      </c>
      <c r="M36" s="284">
        <f>SUM(L33:L36)</f>
        <v>3750</v>
      </c>
      <c r="N36" s="285"/>
      <c r="O36" s="281">
        <v>206.39</v>
      </c>
      <c r="P36" s="252"/>
      <c r="Q36" s="281">
        <v>206.23869999999999</v>
      </c>
      <c r="R36" s="286">
        <f>SUM(Q33:Q36)</f>
        <v>581.6558</v>
      </c>
      <c r="S36" s="252"/>
      <c r="T36" s="283">
        <f t="shared" si="1"/>
        <v>168.61</v>
      </c>
      <c r="U36" s="281">
        <f>SUM(O33:O36)</f>
        <v>1664.029</v>
      </c>
      <c r="V36" s="199"/>
      <c r="W36" s="173">
        <f t="shared" si="4"/>
        <v>55.037333333333329</v>
      </c>
      <c r="X36" s="153" t="s">
        <v>156</v>
      </c>
      <c r="Y36" s="187">
        <v>581.6558</v>
      </c>
      <c r="Z36" s="187">
        <f t="shared" si="3"/>
        <v>0</v>
      </c>
    </row>
    <row r="37" spans="1:26">
      <c r="A37" s="234" t="s">
        <v>225</v>
      </c>
      <c r="B37" s="234" t="s">
        <v>257</v>
      </c>
      <c r="C37" s="57"/>
      <c r="D37" s="57"/>
      <c r="E37" s="7">
        <v>39</v>
      </c>
      <c r="F37" s="7">
        <v>3619</v>
      </c>
      <c r="G37" s="251">
        <v>6121</v>
      </c>
      <c r="H37" s="237">
        <v>1</v>
      </c>
      <c r="I37" s="238" t="s">
        <v>73</v>
      </c>
      <c r="J37" s="239">
        <v>220</v>
      </c>
      <c r="K37" s="287"/>
      <c r="L37" s="230">
        <f t="shared" si="0"/>
        <v>220</v>
      </c>
      <c r="M37" s="175"/>
      <c r="N37" s="176"/>
      <c r="O37" s="171">
        <v>212.917</v>
      </c>
      <c r="P37" s="171"/>
      <c r="Q37" s="171"/>
      <c r="R37" s="171"/>
      <c r="S37" s="171"/>
      <c r="T37" s="230">
        <f t="shared" si="1"/>
        <v>7.0829999999999984</v>
      </c>
      <c r="W37" s="173">
        <f t="shared" si="4"/>
        <v>96.780454545454546</v>
      </c>
      <c r="Y37" s="187">
        <v>212.917</v>
      </c>
      <c r="Z37" s="187">
        <f t="shared" si="3"/>
        <v>212.917</v>
      </c>
    </row>
    <row r="38" spans="1:26">
      <c r="A38" s="234" t="s">
        <v>225</v>
      </c>
      <c r="B38" s="234" t="s">
        <v>258</v>
      </c>
      <c r="C38" s="57"/>
      <c r="D38" s="57"/>
      <c r="E38" s="7">
        <v>39</v>
      </c>
      <c r="F38" s="7">
        <v>3631</v>
      </c>
      <c r="G38" s="251">
        <v>6121</v>
      </c>
      <c r="H38" s="254">
        <v>149</v>
      </c>
      <c r="I38" s="238" t="s">
        <v>99</v>
      </c>
      <c r="J38" s="48">
        <v>400</v>
      </c>
      <c r="K38" s="252">
        <v>66.680000000000007</v>
      </c>
      <c r="L38" s="230">
        <f t="shared" si="0"/>
        <v>466.68</v>
      </c>
      <c r="M38" s="175"/>
      <c r="N38" s="176"/>
      <c r="O38" s="252">
        <v>166.97900000000001</v>
      </c>
      <c r="P38" s="252"/>
      <c r="Q38" s="252"/>
      <c r="R38" s="252"/>
      <c r="S38" s="252"/>
      <c r="T38" s="230">
        <f t="shared" si="1"/>
        <v>299.70100000000002</v>
      </c>
      <c r="W38" s="173">
        <f t="shared" si="4"/>
        <v>41.744750000000003</v>
      </c>
      <c r="Y38" s="187">
        <v>391.524</v>
      </c>
      <c r="Z38" s="187">
        <f t="shared" si="3"/>
        <v>391.524</v>
      </c>
    </row>
    <row r="39" spans="1:26">
      <c r="A39" s="234" t="s">
        <v>225</v>
      </c>
      <c r="B39" s="234" t="s">
        <v>259</v>
      </c>
      <c r="C39" s="57"/>
      <c r="D39" s="57"/>
      <c r="E39" s="7">
        <v>39</v>
      </c>
      <c r="F39" s="7">
        <v>3632</v>
      </c>
      <c r="G39" s="251">
        <v>6121</v>
      </c>
      <c r="H39" s="237">
        <v>109</v>
      </c>
      <c r="I39" s="238" t="s">
        <v>82</v>
      </c>
      <c r="J39" s="239">
        <v>100</v>
      </c>
      <c r="K39" s="171"/>
      <c r="L39" s="230">
        <f t="shared" si="0"/>
        <v>100</v>
      </c>
      <c r="M39" s="175"/>
      <c r="N39" s="176"/>
      <c r="O39" s="171">
        <v>0</v>
      </c>
      <c r="P39" s="171"/>
      <c r="Q39" s="171"/>
      <c r="R39" s="171"/>
      <c r="S39" s="171"/>
      <c r="T39" s="230">
        <f t="shared" si="1"/>
        <v>100</v>
      </c>
      <c r="W39" s="173">
        <f t="shared" si="4"/>
        <v>0</v>
      </c>
      <c r="Y39" s="187">
        <v>0</v>
      </c>
      <c r="Z39" s="187">
        <f t="shared" si="3"/>
        <v>0</v>
      </c>
    </row>
    <row r="40" spans="1:26">
      <c r="A40" s="288" t="s">
        <v>260</v>
      </c>
      <c r="B40" s="288" t="s">
        <v>261</v>
      </c>
      <c r="C40" s="57"/>
      <c r="D40" s="57"/>
      <c r="E40" s="7">
        <v>39</v>
      </c>
      <c r="F40" s="7">
        <v>3635</v>
      </c>
      <c r="G40" s="251">
        <v>6119</v>
      </c>
      <c r="H40" s="237">
        <v>137</v>
      </c>
      <c r="I40" s="238" t="s">
        <v>91</v>
      </c>
      <c r="J40" s="239">
        <v>27.83</v>
      </c>
      <c r="K40" s="171"/>
      <c r="L40" s="230">
        <f t="shared" si="0"/>
        <v>27.83</v>
      </c>
      <c r="M40" s="175"/>
      <c r="N40" s="176"/>
      <c r="O40" s="171">
        <v>27.83</v>
      </c>
      <c r="P40" s="171"/>
      <c r="Q40" s="171"/>
      <c r="R40" s="171"/>
      <c r="S40" s="171"/>
      <c r="T40" s="253">
        <f t="shared" si="1"/>
        <v>0</v>
      </c>
      <c r="W40" s="173">
        <f t="shared" si="4"/>
        <v>100</v>
      </c>
      <c r="X40" s="153" t="s">
        <v>156</v>
      </c>
      <c r="Y40" s="187">
        <v>27.83</v>
      </c>
      <c r="Z40" s="187">
        <f t="shared" si="3"/>
        <v>27.83</v>
      </c>
    </row>
    <row r="41" spans="1:26">
      <c r="A41" s="234"/>
      <c r="B41" s="234"/>
      <c r="C41" s="57"/>
      <c r="D41" s="57"/>
      <c r="E41" s="7">
        <v>39</v>
      </c>
      <c r="F41" s="7">
        <v>3745</v>
      </c>
      <c r="G41" s="251">
        <v>6121</v>
      </c>
      <c r="H41" s="254">
        <v>157</v>
      </c>
      <c r="I41" s="238" t="s">
        <v>107</v>
      </c>
      <c r="J41" s="48">
        <v>400</v>
      </c>
      <c r="K41" s="252"/>
      <c r="L41" s="230">
        <f t="shared" si="0"/>
        <v>400</v>
      </c>
      <c r="M41" s="175"/>
      <c r="N41" s="176"/>
      <c r="O41" s="252">
        <v>0</v>
      </c>
      <c r="P41" s="252"/>
      <c r="Q41" s="252"/>
      <c r="R41" s="252"/>
      <c r="S41" s="252"/>
      <c r="T41" s="230">
        <f t="shared" si="1"/>
        <v>400</v>
      </c>
      <c r="W41" s="173">
        <f t="shared" si="4"/>
        <v>0</v>
      </c>
      <c r="Y41" s="187">
        <v>0</v>
      </c>
      <c r="Z41" s="187">
        <f t="shared" si="3"/>
        <v>0</v>
      </c>
    </row>
    <row r="42" spans="1:26">
      <c r="A42" s="289" t="s">
        <v>225</v>
      </c>
      <c r="B42" s="289" t="s">
        <v>262</v>
      </c>
      <c r="C42" s="290"/>
      <c r="D42" s="290"/>
      <c r="E42" s="291">
        <v>19</v>
      </c>
      <c r="F42" s="291">
        <v>6171</v>
      </c>
      <c r="G42" s="292">
        <v>6121</v>
      </c>
      <c r="H42" s="293">
        <v>150</v>
      </c>
      <c r="I42" s="294" t="s">
        <v>100</v>
      </c>
      <c r="J42" s="295">
        <v>649.20000000000005</v>
      </c>
      <c r="K42" s="295"/>
      <c r="L42" s="295">
        <f t="shared" si="0"/>
        <v>649.20000000000005</v>
      </c>
      <c r="M42" s="175"/>
      <c r="N42" s="176"/>
      <c r="O42" s="295">
        <v>116.81</v>
      </c>
      <c r="P42" s="252"/>
      <c r="Q42" s="295"/>
      <c r="R42" s="295"/>
      <c r="S42" s="252"/>
      <c r="T42" s="295">
        <f t="shared" si="1"/>
        <v>532.3900000000001</v>
      </c>
      <c r="W42" s="173">
        <f t="shared" si="4"/>
        <v>17.992914356130623</v>
      </c>
      <c r="Y42" s="187"/>
      <c r="Z42" s="187"/>
    </row>
    <row r="43" spans="1:26">
      <c r="A43" s="289" t="s">
        <v>225</v>
      </c>
      <c r="B43" s="289" t="s">
        <v>263</v>
      </c>
      <c r="C43" s="290"/>
      <c r="D43" s="290"/>
      <c r="E43" s="291">
        <v>19</v>
      </c>
      <c r="F43" s="291">
        <v>6171</v>
      </c>
      <c r="G43" s="292">
        <v>6121</v>
      </c>
      <c r="H43" s="293">
        <v>156</v>
      </c>
      <c r="I43" s="294" t="s">
        <v>106</v>
      </c>
      <c r="J43" s="295">
        <v>39.93</v>
      </c>
      <c r="K43" s="295"/>
      <c r="L43" s="295">
        <f t="shared" si="0"/>
        <v>39.93</v>
      </c>
      <c r="O43" s="295">
        <v>39.93</v>
      </c>
      <c r="P43" s="252"/>
      <c r="Q43" s="295"/>
      <c r="R43" s="295"/>
      <c r="S43" s="252"/>
      <c r="T43" s="296">
        <f t="shared" si="1"/>
        <v>0</v>
      </c>
      <c r="W43" s="173">
        <f t="shared" si="4"/>
        <v>100</v>
      </c>
      <c r="X43" s="153" t="s">
        <v>156</v>
      </c>
      <c r="Y43" s="187"/>
      <c r="Z43" s="187"/>
    </row>
    <row r="44" spans="1:26">
      <c r="A44" s="289"/>
      <c r="B44" s="289"/>
      <c r="C44" s="290"/>
      <c r="D44" s="290"/>
      <c r="E44" s="291">
        <v>19</v>
      </c>
      <c r="F44" s="291">
        <v>6171</v>
      </c>
      <c r="G44" s="292">
        <v>6121</v>
      </c>
      <c r="H44" s="293">
        <v>3</v>
      </c>
      <c r="I44" s="294" t="s">
        <v>75</v>
      </c>
      <c r="J44" s="295">
        <v>1227.8800000000001</v>
      </c>
      <c r="K44" s="295">
        <v>8743.2000000000007</v>
      </c>
      <c r="L44" s="295">
        <f>SUM(J44:K44)</f>
        <v>9971.0800000000017</v>
      </c>
      <c r="O44" s="295">
        <v>0</v>
      </c>
      <c r="P44" s="252"/>
      <c r="Q44" s="295"/>
      <c r="R44" s="295"/>
      <c r="S44" s="252"/>
      <c r="T44" s="295">
        <f t="shared" si="1"/>
        <v>9971.0800000000017</v>
      </c>
      <c r="W44" s="173">
        <f t="shared" si="4"/>
        <v>0</v>
      </c>
      <c r="Y44" s="187"/>
      <c r="Z44" s="187"/>
    </row>
    <row r="45" spans="1:26">
      <c r="A45" s="289" t="s">
        <v>225</v>
      </c>
      <c r="B45" s="289" t="s">
        <v>264</v>
      </c>
      <c r="C45" s="290"/>
      <c r="D45" s="290"/>
      <c r="E45" s="291">
        <v>19</v>
      </c>
      <c r="F45" s="291">
        <v>6171</v>
      </c>
      <c r="G45" s="292">
        <v>6121</v>
      </c>
      <c r="H45" s="293">
        <v>159</v>
      </c>
      <c r="I45" s="294" t="s">
        <v>109</v>
      </c>
      <c r="J45" s="295">
        <v>2000</v>
      </c>
      <c r="K45" s="297"/>
      <c r="L45" s="295">
        <f>SUM(J45+K45)</f>
        <v>2000</v>
      </c>
      <c r="M45" s="298">
        <f>SUM(L42:L45)</f>
        <v>12660.210000000001</v>
      </c>
      <c r="N45" s="199"/>
      <c r="O45" s="295">
        <v>1872.7686699999999</v>
      </c>
      <c r="P45" s="252"/>
      <c r="Q45" s="295"/>
      <c r="R45" s="295"/>
      <c r="S45" s="252"/>
      <c r="T45" s="295">
        <f t="shared" si="1"/>
        <v>127.23133000000007</v>
      </c>
      <c r="U45" s="295">
        <f>SUM(O42:O45)</f>
        <v>2029.5086699999999</v>
      </c>
      <c r="V45" s="199"/>
      <c r="W45" s="173">
        <f t="shared" si="4"/>
        <v>93.638433499999991</v>
      </c>
      <c r="Y45" s="187">
        <v>2613.06873</v>
      </c>
      <c r="Z45" s="187">
        <f t="shared" si="3"/>
        <v>2613.06873</v>
      </c>
    </row>
    <row r="46" spans="1:26">
      <c r="A46" s="67"/>
      <c r="B46" s="67"/>
      <c r="C46" s="67"/>
      <c r="D46" s="67"/>
      <c r="E46" s="67">
        <v>19</v>
      </c>
      <c r="F46" s="67">
        <v>6171</v>
      </c>
      <c r="G46" s="299">
        <v>6122</v>
      </c>
      <c r="H46" s="300">
        <v>159</v>
      </c>
      <c r="I46" s="301" t="s">
        <v>265</v>
      </c>
      <c r="J46" s="252">
        <v>600</v>
      </c>
      <c r="K46" s="252"/>
      <c r="L46" s="252">
        <f>SUM(J46+K46)</f>
        <v>600</v>
      </c>
      <c r="M46" s="199"/>
      <c r="N46" s="199"/>
      <c r="O46" s="252">
        <v>318.50099999999998</v>
      </c>
      <c r="P46" s="252"/>
      <c r="Q46" s="252"/>
      <c r="R46" s="252"/>
      <c r="S46" s="252"/>
      <c r="T46" s="252">
        <f t="shared" si="1"/>
        <v>281.49900000000002</v>
      </c>
      <c r="U46" s="252"/>
      <c r="W46" s="173">
        <f t="shared" si="4"/>
        <v>53.083499999999994</v>
      </c>
      <c r="Y46" s="187">
        <v>447.23899999999998</v>
      </c>
      <c r="Z46" s="187">
        <f t="shared" si="3"/>
        <v>447.23899999999998</v>
      </c>
    </row>
    <row r="47" spans="1:26">
      <c r="A47" s="212"/>
      <c r="B47" s="212"/>
      <c r="C47" s="203"/>
      <c r="D47" s="203"/>
      <c r="E47" s="205">
        <v>19</v>
      </c>
      <c r="F47" s="205">
        <v>6171</v>
      </c>
      <c r="G47" s="302">
        <v>6125</v>
      </c>
      <c r="H47" s="303">
        <v>158</v>
      </c>
      <c r="I47" s="208" t="s">
        <v>108</v>
      </c>
      <c r="J47" s="304">
        <v>0</v>
      </c>
      <c r="K47" s="304"/>
      <c r="L47" s="304">
        <f>SUM(J47:K47)</f>
        <v>0</v>
      </c>
      <c r="M47" s="175"/>
      <c r="N47" s="176"/>
      <c r="O47" s="304">
        <v>0</v>
      </c>
      <c r="P47" s="252"/>
      <c r="Q47" s="304"/>
      <c r="R47" s="304"/>
      <c r="S47" s="252"/>
      <c r="T47" s="304">
        <f t="shared" si="1"/>
        <v>0</v>
      </c>
      <c r="W47" s="173"/>
      <c r="Y47" s="187"/>
      <c r="Z47" s="187"/>
    </row>
    <row r="48" spans="1:26">
      <c r="A48" s="212"/>
      <c r="B48" s="212"/>
      <c r="C48" s="203"/>
      <c r="D48" s="203"/>
      <c r="E48" s="205">
        <v>19</v>
      </c>
      <c r="F48" s="205">
        <v>6171</v>
      </c>
      <c r="G48" s="302">
        <v>6125</v>
      </c>
      <c r="H48" s="303">
        <v>161</v>
      </c>
      <c r="I48" s="208" t="s">
        <v>111</v>
      </c>
      <c r="J48" s="209">
        <v>91.96</v>
      </c>
      <c r="K48" s="304"/>
      <c r="L48" s="304">
        <f>SUM(J48:K48)</f>
        <v>91.96</v>
      </c>
      <c r="M48" s="175"/>
      <c r="N48" s="176"/>
      <c r="O48" s="304">
        <v>91.96</v>
      </c>
      <c r="P48" s="252"/>
      <c r="Q48" s="304"/>
      <c r="R48" s="304"/>
      <c r="S48" s="252"/>
      <c r="T48" s="304">
        <f t="shared" si="1"/>
        <v>0</v>
      </c>
      <c r="W48" s="173">
        <f>SUM(O48/J48*100)</f>
        <v>100</v>
      </c>
      <c r="Y48" s="187"/>
      <c r="Z48" s="187"/>
    </row>
    <row r="49" spans="1:26">
      <c r="A49" s="212"/>
      <c r="B49" s="212"/>
      <c r="C49" s="203"/>
      <c r="D49" s="203"/>
      <c r="E49" s="205">
        <v>19</v>
      </c>
      <c r="F49" s="205">
        <v>6171</v>
      </c>
      <c r="G49" s="302">
        <v>6125</v>
      </c>
      <c r="H49" s="303">
        <v>162</v>
      </c>
      <c r="I49" s="208" t="s">
        <v>112</v>
      </c>
      <c r="J49" s="209">
        <v>45.98</v>
      </c>
      <c r="K49" s="304"/>
      <c r="L49" s="304">
        <f>SUM(J49:K49)</f>
        <v>45.98</v>
      </c>
      <c r="M49" s="305">
        <f>SUM(L47:L49)</f>
        <v>137.94</v>
      </c>
      <c r="N49" s="199"/>
      <c r="O49" s="304">
        <v>45.98</v>
      </c>
      <c r="P49" s="252"/>
      <c r="Q49" s="304"/>
      <c r="R49" s="304"/>
      <c r="S49" s="252"/>
      <c r="T49" s="304">
        <f t="shared" si="1"/>
        <v>0</v>
      </c>
      <c r="U49" s="304">
        <f>SUM(O47:O49)</f>
        <v>137.94</v>
      </c>
      <c r="V49" s="199"/>
      <c r="W49" s="173">
        <f>SUM(O49/J49*100)</f>
        <v>100</v>
      </c>
      <c r="Y49" s="187">
        <v>137.94</v>
      </c>
      <c r="Z49" s="187">
        <f t="shared" si="3"/>
        <v>137.94</v>
      </c>
    </row>
    <row r="50" spans="1:26">
      <c r="A50" s="234"/>
      <c r="B50" s="234"/>
      <c r="C50" s="57"/>
      <c r="D50" s="57"/>
      <c r="E50" s="7">
        <v>19</v>
      </c>
      <c r="F50" s="7">
        <v>6171</v>
      </c>
      <c r="G50" s="251">
        <v>6130</v>
      </c>
      <c r="H50" s="254">
        <v>20</v>
      </c>
      <c r="I50" s="238" t="s">
        <v>77</v>
      </c>
      <c r="J50" s="239">
        <v>500</v>
      </c>
      <c r="K50" s="171"/>
      <c r="L50" s="230">
        <f>SUM(J50:K50)</f>
        <v>500</v>
      </c>
      <c r="M50" s="175"/>
      <c r="N50" s="176"/>
      <c r="O50" s="171">
        <v>0</v>
      </c>
      <c r="P50" s="171"/>
      <c r="Q50" s="171"/>
      <c r="R50" s="171"/>
      <c r="S50" s="171"/>
      <c r="T50" s="230">
        <f t="shared" si="1"/>
        <v>500</v>
      </c>
      <c r="W50" s="173">
        <f>SUM(O50/J50*100)</f>
        <v>0</v>
      </c>
      <c r="Y50" s="187">
        <v>80.456000000000003</v>
      </c>
      <c r="Z50" s="187">
        <f t="shared" si="3"/>
        <v>80.456000000000003</v>
      </c>
    </row>
    <row r="51" spans="1:26">
      <c r="H51" s="254"/>
      <c r="I51" s="306" t="s">
        <v>20</v>
      </c>
      <c r="J51" s="307">
        <f>SUM(J4:J50)</f>
        <v>45082.02</v>
      </c>
      <c r="K51" s="182">
        <f>SUM(K5:K50)</f>
        <v>8809.880000000001</v>
      </c>
      <c r="L51" s="308">
        <f>SUM(L5:L50)</f>
        <v>53891.9</v>
      </c>
      <c r="M51" s="309">
        <f>SUM(M10+M13+M16+M21+L22+L23+M25+L26+L28+M31+L32+M36+L37+L38+L39+L40+L41+M45+L46+M49+L50)</f>
        <v>53756.43</v>
      </c>
      <c r="N51" s="310"/>
      <c r="O51" s="182">
        <f>SUM(O5:O50)</f>
        <v>20504.67283</v>
      </c>
      <c r="P51" s="311"/>
      <c r="Q51" s="311"/>
      <c r="R51" s="311"/>
      <c r="S51" s="311"/>
      <c r="T51" s="312">
        <f>SUM(T5:T50)</f>
        <v>33387.227170000006</v>
      </c>
      <c r="W51" s="313">
        <f>SUM(O51/J51*100)</f>
        <v>45.483039202768644</v>
      </c>
      <c r="Y51" s="187"/>
      <c r="Z51" s="187"/>
    </row>
    <row r="52" spans="1:26">
      <c r="H52" s="175"/>
      <c r="I52" s="314"/>
      <c r="J52" s="315"/>
      <c r="K52" s="199"/>
      <c r="L52" s="316"/>
      <c r="O52" s="672">
        <f>SUM(O51+T51)</f>
        <v>53891.900000000009</v>
      </c>
      <c r="P52" s="673"/>
      <c r="Q52" s="673"/>
      <c r="R52" s="673"/>
      <c r="S52" s="673"/>
      <c r="T52" s="674"/>
      <c r="Y52" s="187">
        <f>SUM(Y5:Y51)</f>
        <v>25709.304820000001</v>
      </c>
      <c r="Z52" s="187"/>
    </row>
    <row r="53" spans="1:26">
      <c r="H53" s="175"/>
      <c r="I53" s="314"/>
      <c r="J53" s="315"/>
      <c r="K53" s="199"/>
      <c r="L53" s="316"/>
      <c r="O53" s="199"/>
      <c r="P53" s="199"/>
      <c r="Q53" s="199"/>
      <c r="R53" s="199"/>
      <c r="S53" s="199"/>
      <c r="T53" s="316"/>
    </row>
    <row r="56" spans="1:26">
      <c r="K56" s="152"/>
    </row>
    <row r="58" spans="1:26">
      <c r="A58" s="317"/>
      <c r="I58" s="85"/>
    </row>
    <row r="59" spans="1:26">
      <c r="H59" s="317"/>
      <c r="I59" s="85"/>
    </row>
    <row r="60" spans="1:26">
      <c r="A60" s="317"/>
      <c r="H60" s="317"/>
      <c r="I60" s="85"/>
    </row>
    <row r="61" spans="1:26">
      <c r="F61" s="317"/>
      <c r="H61" s="317"/>
      <c r="I61" s="85"/>
    </row>
    <row r="62" spans="1:26">
      <c r="F62" s="317"/>
      <c r="H62" s="317"/>
      <c r="I62" s="85"/>
    </row>
    <row r="63" spans="1:26">
      <c r="H63" s="317"/>
      <c r="I63" s="85"/>
    </row>
    <row r="64" spans="1:26">
      <c r="A64" s="317"/>
      <c r="I64" s="85"/>
    </row>
    <row r="65" spans="1:10">
      <c r="H65" s="317"/>
    </row>
    <row r="66" spans="1:10">
      <c r="H66" s="317"/>
      <c r="I66" s="85"/>
    </row>
    <row r="67" spans="1:10">
      <c r="A67" s="317"/>
      <c r="I67" s="85"/>
    </row>
    <row r="68" spans="1:10">
      <c r="H68" s="317"/>
    </row>
    <row r="69" spans="1:10">
      <c r="H69" s="317"/>
    </row>
    <row r="70" spans="1:10">
      <c r="H70" s="317"/>
    </row>
    <row r="71" spans="1:10">
      <c r="H71" s="317"/>
    </row>
    <row r="72" spans="1:10">
      <c r="I72" s="318"/>
      <c r="J72" s="82"/>
    </row>
    <row r="73" spans="1:10">
      <c r="A73" s="317"/>
    </row>
  </sheetData>
  <mergeCells count="1">
    <mergeCell ref="O52:T52"/>
  </mergeCells>
  <pageMargins left="0" right="0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458" customWidth="1"/>
    <col min="4" max="4" width="17" style="576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394"/>
    </row>
    <row r="2" spans="1:8" ht="17.25" customHeight="1">
      <c r="A2" s="580" t="s">
        <v>673</v>
      </c>
      <c r="B2" s="4"/>
      <c r="C2" s="395"/>
    </row>
    <row r="3" spans="1:8" ht="17.25" customHeight="1">
      <c r="B3" s="4"/>
      <c r="C3" s="395"/>
    </row>
    <row r="4" spans="1:8" ht="58.5" customHeight="1">
      <c r="A4" s="75" t="s">
        <v>313</v>
      </c>
      <c r="B4" s="488" t="s">
        <v>310</v>
      </c>
      <c r="C4" s="396"/>
      <c r="D4" s="588" t="s">
        <v>707</v>
      </c>
    </row>
    <row r="5" spans="1:8" ht="13.5" customHeight="1">
      <c r="A5" s="75" t="s">
        <v>317</v>
      </c>
      <c r="B5" s="11" t="s">
        <v>318</v>
      </c>
      <c r="C5" s="464"/>
      <c r="D5" s="589">
        <v>1</v>
      </c>
    </row>
    <row r="6" spans="1:8" ht="13.5" customHeight="1">
      <c r="B6" s="11" t="s">
        <v>319</v>
      </c>
      <c r="C6" s="464"/>
      <c r="D6" s="589">
        <v>2</v>
      </c>
    </row>
    <row r="7" spans="1:8" ht="13.5" customHeight="1">
      <c r="B7" s="11" t="s">
        <v>320</v>
      </c>
      <c r="C7" s="464"/>
      <c r="D7" s="589">
        <v>47</v>
      </c>
    </row>
    <row r="8" spans="1:8" ht="13.5" customHeight="1">
      <c r="B8" s="18" t="s">
        <v>10</v>
      </c>
      <c r="C8"/>
      <c r="D8" s="590">
        <f>SUM(D5:D7)</f>
        <v>50</v>
      </c>
    </row>
    <row r="9" spans="1:8" ht="17.25" customHeight="1">
      <c r="B9" s="4"/>
      <c r="C9" s="395"/>
    </row>
    <row r="10" spans="1:8" s="85" customFormat="1">
      <c r="A10" s="2"/>
      <c r="B10" s="149"/>
      <c r="C10" s="458"/>
      <c r="D10" s="576"/>
      <c r="E10"/>
      <c r="F10"/>
      <c r="G10"/>
      <c r="H1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="110" zoomScaleNormal="11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458" customWidth="1"/>
    <col min="4" max="4" width="17" style="576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394"/>
    </row>
    <row r="2" spans="1:8" ht="17.25" customHeight="1">
      <c r="A2" s="580" t="s">
        <v>673</v>
      </c>
      <c r="B2" s="4"/>
      <c r="C2" s="395"/>
    </row>
    <row r="3" spans="1:8" ht="17.25" customHeight="1">
      <c r="B3" s="4"/>
      <c r="C3" s="395"/>
    </row>
    <row r="4" spans="1:8" s="576" customFormat="1" ht="39" customHeight="1">
      <c r="A4" s="75" t="s">
        <v>313</v>
      </c>
      <c r="B4" s="488" t="s">
        <v>675</v>
      </c>
      <c r="C4" s="396"/>
      <c r="D4" s="588" t="s">
        <v>707</v>
      </c>
      <c r="E4"/>
      <c r="F4"/>
      <c r="G4"/>
      <c r="H4"/>
    </row>
    <row r="5" spans="1:8" s="576" customFormat="1" ht="13.5" customHeight="1">
      <c r="A5" s="75" t="s">
        <v>323</v>
      </c>
      <c r="B5" s="11" t="s">
        <v>324</v>
      </c>
      <c r="C5" s="464"/>
      <c r="D5" s="589">
        <v>550</v>
      </c>
      <c r="E5"/>
      <c r="F5"/>
      <c r="G5"/>
      <c r="H5"/>
    </row>
    <row r="6" spans="1:8" s="576" customFormat="1" ht="13.5" customHeight="1">
      <c r="A6" s="2"/>
      <c r="B6" s="11" t="s">
        <v>325</v>
      </c>
      <c r="C6" s="464"/>
      <c r="D6" s="589">
        <v>20</v>
      </c>
      <c r="E6"/>
      <c r="F6"/>
      <c r="G6"/>
      <c r="H6"/>
    </row>
    <row r="7" spans="1:8" s="576" customFormat="1" ht="13.5" customHeight="1">
      <c r="A7" s="2"/>
      <c r="B7" s="11" t="s">
        <v>326</v>
      </c>
      <c r="C7" s="464"/>
      <c r="D7" s="589">
        <v>160</v>
      </c>
      <c r="E7"/>
      <c r="F7"/>
      <c r="G7"/>
      <c r="H7"/>
    </row>
    <row r="8" spans="1:8" s="576" customFormat="1" ht="13.5" customHeight="1">
      <c r="A8" s="2"/>
      <c r="B8" s="11" t="s">
        <v>327</v>
      </c>
      <c r="C8" s="464"/>
      <c r="D8" s="589">
        <v>70</v>
      </c>
      <c r="E8"/>
      <c r="F8"/>
      <c r="G8"/>
      <c r="H8"/>
    </row>
    <row r="9" spans="1:8" s="576" customFormat="1" ht="13.5" customHeight="1">
      <c r="A9" s="2"/>
      <c r="B9" s="11" t="s">
        <v>328</v>
      </c>
      <c r="C9" s="464"/>
      <c r="D9" s="589">
        <v>2</v>
      </c>
      <c r="E9"/>
      <c r="F9"/>
      <c r="G9"/>
      <c r="H9"/>
    </row>
    <row r="10" spans="1:8" s="576" customFormat="1" ht="13.5" customHeight="1">
      <c r="A10" s="2"/>
      <c r="B10" s="11" t="s">
        <v>329</v>
      </c>
      <c r="C10" s="464"/>
      <c r="D10" s="589">
        <v>5</v>
      </c>
      <c r="E10"/>
      <c r="F10"/>
      <c r="G10"/>
      <c r="H10"/>
    </row>
    <row r="11" spans="1:8" s="576" customFormat="1" ht="13.5" customHeight="1">
      <c r="A11" s="2"/>
      <c r="B11" s="11" t="s">
        <v>330</v>
      </c>
      <c r="C11" s="464"/>
      <c r="D11" s="589">
        <v>30</v>
      </c>
      <c r="E11"/>
      <c r="F11"/>
      <c r="G11"/>
      <c r="H11"/>
    </row>
    <row r="12" spans="1:8" s="576" customFormat="1" ht="13.5" customHeight="1">
      <c r="A12" s="2"/>
      <c r="B12" s="11" t="s">
        <v>331</v>
      </c>
      <c r="C12" s="464"/>
      <c r="D12" s="589">
        <v>200</v>
      </c>
      <c r="E12"/>
      <c r="F12"/>
      <c r="G12"/>
      <c r="H12"/>
    </row>
    <row r="13" spans="1:8" s="576" customFormat="1" ht="13.5" customHeight="1">
      <c r="A13" s="2"/>
      <c r="B13" s="11" t="s">
        <v>332</v>
      </c>
      <c r="C13" s="464"/>
      <c r="D13" s="589">
        <v>100</v>
      </c>
      <c r="E13"/>
      <c r="F13"/>
      <c r="G13"/>
      <c r="H13"/>
    </row>
    <row r="14" spans="1:8" s="576" customFormat="1" ht="13.5" customHeight="1">
      <c r="A14" s="2"/>
      <c r="B14" s="11" t="s">
        <v>333</v>
      </c>
      <c r="C14" s="464"/>
      <c r="D14" s="589">
        <v>15</v>
      </c>
      <c r="E14"/>
      <c r="F14"/>
      <c r="G14"/>
      <c r="H14"/>
    </row>
    <row r="15" spans="1:8" s="576" customFormat="1" ht="13.5" customHeight="1">
      <c r="A15" s="2"/>
      <c r="B15" s="11" t="s">
        <v>334</v>
      </c>
      <c r="C15" s="464"/>
      <c r="D15" s="589">
        <v>15</v>
      </c>
      <c r="E15"/>
      <c r="F15"/>
      <c r="G15"/>
      <c r="H15"/>
    </row>
    <row r="16" spans="1:8" s="576" customFormat="1" ht="13.5" customHeight="1">
      <c r="A16" s="2"/>
      <c r="B16" s="11" t="s">
        <v>319</v>
      </c>
      <c r="C16" s="464"/>
      <c r="D16" s="589">
        <v>5</v>
      </c>
      <c r="E16"/>
      <c r="F16"/>
      <c r="G16"/>
      <c r="H16"/>
    </row>
    <row r="17" spans="1:8" s="576" customFormat="1" ht="27" customHeight="1">
      <c r="A17" s="2"/>
      <c r="B17" s="11" t="s">
        <v>320</v>
      </c>
      <c r="C17"/>
      <c r="D17" s="589">
        <v>1792</v>
      </c>
      <c r="E17"/>
      <c r="F17"/>
      <c r="G17"/>
      <c r="H17"/>
    </row>
    <row r="18" spans="1:8" s="576" customFormat="1" ht="14.25" customHeight="1">
      <c r="A18" s="2"/>
      <c r="B18" s="11" t="s">
        <v>335</v>
      </c>
      <c r="C18"/>
      <c r="D18" s="589"/>
      <c r="E18"/>
      <c r="F18"/>
      <c r="G18"/>
      <c r="H18"/>
    </row>
    <row r="19" spans="1:8" s="576" customFormat="1" ht="14.25" customHeight="1">
      <c r="A19" s="2"/>
      <c r="B19" s="17" t="s">
        <v>499</v>
      </c>
      <c r="C19"/>
      <c r="D19" s="589">
        <v>15</v>
      </c>
      <c r="E19"/>
      <c r="F19"/>
      <c r="G19"/>
      <c r="H19"/>
    </row>
    <row r="20" spans="1:8" s="576" customFormat="1" ht="27" customHeight="1">
      <c r="A20" s="2"/>
      <c r="B20" s="28" t="s">
        <v>336</v>
      </c>
      <c r="C20"/>
      <c r="D20" s="589">
        <v>1</v>
      </c>
      <c r="E20"/>
      <c r="F20"/>
      <c r="G20"/>
      <c r="H20"/>
    </row>
    <row r="21" spans="1:8" s="576" customFormat="1" ht="13.5" customHeight="1">
      <c r="A21" s="2"/>
      <c r="B21" s="11" t="s">
        <v>337</v>
      </c>
      <c r="C21"/>
      <c r="D21" s="589">
        <v>10</v>
      </c>
      <c r="E21"/>
      <c r="F21"/>
      <c r="G21"/>
      <c r="H21"/>
    </row>
    <row r="22" spans="1:8" s="576" customFormat="1" ht="13.5" customHeight="1">
      <c r="A22" s="2"/>
      <c r="B22" s="11" t="s">
        <v>338</v>
      </c>
      <c r="C22"/>
      <c r="D22" s="589">
        <v>10</v>
      </c>
      <c r="E22"/>
      <c r="F22"/>
      <c r="G22"/>
      <c r="H22"/>
    </row>
    <row r="23" spans="1:8" s="576" customFormat="1" ht="13.5" customHeight="1">
      <c r="A23" s="2"/>
      <c r="B23" s="18" t="s">
        <v>10</v>
      </c>
      <c r="C23"/>
      <c r="D23" s="590">
        <f>SUM(D5:D22)</f>
        <v>3000</v>
      </c>
      <c r="E23"/>
      <c r="F23"/>
      <c r="G23"/>
      <c r="H23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458" customWidth="1"/>
    <col min="4" max="4" width="17" style="576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394"/>
    </row>
    <row r="2" spans="1:8" ht="17.25" customHeight="1">
      <c r="A2" s="580" t="s">
        <v>673</v>
      </c>
      <c r="B2" s="4"/>
      <c r="C2" s="395"/>
    </row>
    <row r="3" spans="1:8" ht="17.25" customHeight="1">
      <c r="B3" s="4"/>
      <c r="C3" s="395"/>
    </row>
    <row r="4" spans="1:8" s="576" customFormat="1" ht="42" customHeight="1">
      <c r="A4" s="75" t="s">
        <v>313</v>
      </c>
      <c r="B4" s="488" t="s">
        <v>676</v>
      </c>
      <c r="C4"/>
      <c r="D4" s="588" t="s">
        <v>707</v>
      </c>
      <c r="E4"/>
      <c r="F4"/>
      <c r="G4"/>
      <c r="H4"/>
    </row>
    <row r="5" spans="1:8" s="576" customFormat="1" ht="13.5" customHeight="1">
      <c r="A5" s="75" t="s">
        <v>340</v>
      </c>
      <c r="B5" s="29" t="s">
        <v>320</v>
      </c>
      <c r="C5"/>
      <c r="D5" s="589">
        <v>50</v>
      </c>
      <c r="E5"/>
      <c r="F5"/>
      <c r="G5"/>
      <c r="H5"/>
    </row>
    <row r="6" spans="1:8" s="576" customFormat="1" ht="13.5" customHeight="1">
      <c r="A6" s="2"/>
      <c r="B6" s="18" t="s">
        <v>10</v>
      </c>
      <c r="C6"/>
      <c r="D6" s="590">
        <f>SUM(D5)</f>
        <v>50</v>
      </c>
      <c r="E6"/>
      <c r="F6"/>
      <c r="G6"/>
      <c r="H6"/>
    </row>
    <row r="7" spans="1:8" s="576" customFormat="1" ht="17.25" customHeight="1">
      <c r="A7" s="2"/>
      <c r="B7" s="4"/>
      <c r="C7"/>
      <c r="E7"/>
      <c r="F7"/>
      <c r="G7"/>
      <c r="H7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458" customWidth="1"/>
    <col min="4" max="4" width="17" style="576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394"/>
    </row>
    <row r="2" spans="1:8" ht="17.25" customHeight="1">
      <c r="A2" s="580" t="s">
        <v>673</v>
      </c>
      <c r="B2" s="4"/>
      <c r="C2" s="395"/>
    </row>
    <row r="3" spans="1:8" ht="17.25" customHeight="1">
      <c r="B3" s="4"/>
      <c r="C3" s="395"/>
    </row>
    <row r="4" spans="1:8" s="576" customFormat="1" ht="39.75" customHeight="1">
      <c r="A4" s="75" t="s">
        <v>313</v>
      </c>
      <c r="B4" s="488" t="s">
        <v>677</v>
      </c>
      <c r="C4"/>
      <c r="D4" s="588" t="s">
        <v>707</v>
      </c>
      <c r="E4"/>
      <c r="F4"/>
      <c r="G4"/>
      <c r="H4"/>
    </row>
    <row r="5" spans="1:8" s="576" customFormat="1" ht="13.5" customHeight="1">
      <c r="A5" s="75" t="s">
        <v>342</v>
      </c>
      <c r="B5" s="11" t="s">
        <v>343</v>
      </c>
      <c r="C5"/>
      <c r="D5" s="589"/>
      <c r="E5"/>
      <c r="F5"/>
      <c r="G5"/>
      <c r="H5"/>
    </row>
    <row r="6" spans="1:8" s="576" customFormat="1" ht="13.5" customHeight="1">
      <c r="A6" s="2"/>
      <c r="B6" s="11" t="s">
        <v>344</v>
      </c>
      <c r="C6"/>
      <c r="D6" s="589"/>
      <c r="E6"/>
      <c r="F6"/>
      <c r="G6"/>
      <c r="H6"/>
    </row>
    <row r="7" spans="1:8" s="576" customFormat="1" ht="13.5" customHeight="1">
      <c r="A7" s="2"/>
      <c r="B7" s="11" t="s">
        <v>345</v>
      </c>
      <c r="C7"/>
      <c r="D7" s="589"/>
      <c r="E7"/>
      <c r="F7"/>
      <c r="G7"/>
      <c r="H7"/>
    </row>
    <row r="8" spans="1:8" s="576" customFormat="1" ht="25.5">
      <c r="A8" s="2"/>
      <c r="B8" s="399" t="s">
        <v>346</v>
      </c>
      <c r="C8"/>
      <c r="D8" s="589"/>
      <c r="E8"/>
      <c r="F8"/>
      <c r="G8"/>
      <c r="H8"/>
    </row>
    <row r="9" spans="1:8" ht="13.5" customHeight="1">
      <c r="B9" s="11" t="s">
        <v>347</v>
      </c>
      <c r="C9"/>
      <c r="D9" s="589">
        <v>610</v>
      </c>
    </row>
    <row r="10" spans="1:8" ht="13.5" customHeight="1">
      <c r="B10" s="17" t="s">
        <v>546</v>
      </c>
      <c r="C10"/>
      <c r="D10" s="589">
        <v>2250</v>
      </c>
    </row>
    <row r="11" spans="1:8" ht="15" customHeight="1">
      <c r="A11" s="75"/>
      <c r="B11" s="29" t="s">
        <v>349</v>
      </c>
      <c r="C11"/>
      <c r="D11" s="589">
        <v>200</v>
      </c>
    </row>
    <row r="12" spans="1:8" ht="14.25" customHeight="1">
      <c r="B12" s="18" t="s">
        <v>10</v>
      </c>
      <c r="C12"/>
      <c r="D12" s="590">
        <f>SUM(D5:D11)</f>
        <v>3060</v>
      </c>
    </row>
    <row r="13" spans="1:8" ht="17.25" customHeight="1">
      <c r="B13" s="4"/>
      <c r="C13"/>
    </row>
    <row r="14" spans="1:8" ht="17.25" customHeight="1">
      <c r="B14" s="4"/>
      <c r="C14"/>
      <c r="D14" s="579"/>
    </row>
    <row r="15" spans="1:8" ht="17.25" customHeight="1">
      <c r="B15" s="4"/>
      <c r="C15"/>
      <c r="D15" s="579"/>
    </row>
    <row r="16" spans="1:8" ht="17.25" customHeight="1">
      <c r="B16" s="4"/>
      <c r="C16"/>
      <c r="D16" s="579"/>
    </row>
    <row r="17" spans="2:4" ht="17.25" customHeight="1">
      <c r="B17" s="4"/>
      <c r="C17"/>
      <c r="D17" s="579"/>
    </row>
    <row r="18" spans="2:4" ht="17.25" customHeight="1">
      <c r="B18" s="4"/>
      <c r="C18"/>
      <c r="D18" s="579"/>
    </row>
    <row r="19" spans="2:4" ht="17.25" customHeight="1">
      <c r="B19" s="4"/>
      <c r="C19"/>
      <c r="D19" s="579"/>
    </row>
    <row r="20" spans="2:4" ht="17.25" customHeight="1">
      <c r="B20" s="4"/>
      <c r="C20"/>
    </row>
  </sheetData>
  <hyperlinks>
    <hyperlink ref="A2" location="'Výdaje 2014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Výdaje 2014 - podrobně</vt:lpstr>
      <vt:lpstr>Příjmy 2014 shrnutí</vt:lpstr>
      <vt:lpstr>Příjmy 2014 - podrobně</vt:lpstr>
      <vt:lpstr>Výdaje 2014 - shrnutí</vt:lpstr>
      <vt:lpstr>Plán investic 2015</vt:lpstr>
      <vt:lpstr>1014</vt:lpstr>
      <vt:lpstr>1031</vt:lpstr>
      <vt:lpstr>1036</vt:lpstr>
      <vt:lpstr>2212</vt:lpstr>
      <vt:lpstr>2219</vt:lpstr>
      <vt:lpstr>2310</vt:lpstr>
      <vt:lpstr>2321</vt:lpstr>
      <vt:lpstr>3111</vt:lpstr>
      <vt:lpstr>3113</vt:lpstr>
      <vt:lpstr>3231</vt:lpstr>
      <vt:lpstr>3314</vt:lpstr>
      <vt:lpstr>3319</vt:lpstr>
      <vt:lpstr>3326</vt:lpstr>
      <vt:lpstr>3330</vt:lpstr>
      <vt:lpstr>3412</vt:lpstr>
      <vt:lpstr>3419</vt:lpstr>
      <vt:lpstr>3421</vt:lpstr>
      <vt:lpstr>3611</vt:lpstr>
      <vt:lpstr>3612</vt:lpstr>
      <vt:lpstr>3613</vt:lpstr>
      <vt:lpstr>3619</vt:lpstr>
      <vt:lpstr>3631</vt:lpstr>
      <vt:lpstr>3632</vt:lpstr>
      <vt:lpstr>3722</vt:lpstr>
      <vt:lpstr>3745</vt:lpstr>
      <vt:lpstr>3900</vt:lpstr>
      <vt:lpstr>4339</vt:lpstr>
      <vt:lpstr>4351</vt:lpstr>
      <vt:lpstr>5212</vt:lpstr>
      <vt:lpstr>5311</vt:lpstr>
      <vt:lpstr>5512</vt:lpstr>
      <vt:lpstr>6112</vt:lpstr>
      <vt:lpstr>6115</vt:lpstr>
      <vt:lpstr>6117</vt:lpstr>
      <vt:lpstr>6171</vt:lpstr>
      <vt:lpstr>6310</vt:lpstr>
      <vt:lpstr>6330</vt:lpstr>
      <vt:lpstr>6399</vt:lpstr>
      <vt:lpstr>6402</vt:lpstr>
      <vt:lpstr>6409</vt:lpstr>
      <vt:lpstr>Vytváření rezerv</vt:lpstr>
      <vt:lpstr>Investice 2014</vt:lpstr>
      <vt:lpstr>Investice</vt:lpstr>
      <vt:lpstr>Dotace</vt:lpstr>
      <vt:lpstr>Kultura - kontrolní součty</vt:lpstr>
      <vt:lpstr>Čerpání Investic 2013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somolikjaroslav</dc:creator>
  <cp:lastModifiedBy>somolikjaroslav</cp:lastModifiedBy>
  <cp:lastPrinted>2014-12-02T07:20:04Z</cp:lastPrinted>
  <dcterms:created xsi:type="dcterms:W3CDTF">2014-04-09T05:50:31Z</dcterms:created>
  <dcterms:modified xsi:type="dcterms:W3CDTF">2014-12-01T13:38:40Z</dcterms:modified>
</cp:coreProperties>
</file>